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95" yWindow="65521" windowWidth="16665" windowHeight="13620" activeTab="0"/>
  </bookViews>
  <sheets>
    <sheet name="Title Page" sheetId="1" r:id="rId1"/>
    <sheet name="Instructions" sheetId="2" r:id="rId2"/>
    <sheet name="Summary" sheetId="3" r:id="rId3"/>
    <sheet name="Graphs" sheetId="4" r:id="rId4"/>
    <sheet name="Input Prices" sheetId="5" r:id="rId5"/>
    <sheet name="Chem Fallow" sheetId="6" r:id="rId6"/>
    <sheet name="CF Calendar" sheetId="7" r:id="rId7"/>
    <sheet name="Winter Wheat" sheetId="8" r:id="rId8"/>
    <sheet name="WW Calendar" sheetId="9" r:id="rId9"/>
    <sheet name="Spring Barley" sheetId="10" r:id="rId10"/>
    <sheet name="SB Calendar" sheetId="11" r:id="rId11"/>
    <sheet name="Hard Red Spring Wheat" sheetId="12" r:id="rId12"/>
    <sheet name="HRSW Calendar" sheetId="13" r:id="rId13"/>
    <sheet name="Machine Costs" sheetId="14" r:id="rId14"/>
    <sheet name="Machinery Complement" sheetId="15" r:id="rId15"/>
  </sheets>
  <externalReferences>
    <externalReference r:id="rId18"/>
    <externalReference r:id="rId19"/>
  </externalReferences>
  <definedNames>
    <definedName name="_ftn1" localSheetId="14">'Machinery Complement'!#REF!</definedName>
    <definedName name="_ftnref1" localSheetId="14">'Machinery Complement'!#REF!</definedName>
    <definedName name="Achieve">'[1]PRICES'!$D$31</definedName>
    <definedName name="AchieveSC">'[2]Prices'!$D$46</definedName>
    <definedName name="Adj_M90">'[2]Prices'!$D$29</definedName>
    <definedName name="aerial">'[2]Prices'!$D$37</definedName>
    <definedName name="AerialSpray">'[1]PRICES'!$D$37</definedName>
    <definedName name="Ally">'Input Prices'!$D$33</definedName>
    <definedName name="AmmoniaS">'[1]PRICES'!#REF!</definedName>
    <definedName name="AmmonSulfate">'[1]PRICES'!$D$26</definedName>
    <definedName name="AmmonSulfdry">'[1]PRICES'!$D$30</definedName>
    <definedName name="AmmSulf">'Input Prices'!#REF!</definedName>
    <definedName name="AmmSulfdry">'[1]PRICES'!$D$30</definedName>
    <definedName name="AmmSulfLiqu">'[2]Prices'!#REF!</definedName>
    <definedName name="AmmSulLiqu">'Input Prices'!#REF!</definedName>
    <definedName name="AmSul">'[2]Prices'!#REF!</definedName>
    <definedName name="AssureII">'[2]Prices'!$D$48</definedName>
    <definedName name="Axial">'[2]Prices'!$D$49</definedName>
    <definedName name="BarleySeed">'Input Prices'!$D$18</definedName>
    <definedName name="Bronate">'Input Prices'!$D$34</definedName>
    <definedName name="BroxM">'[2]Prices'!$D$51</definedName>
    <definedName name="BSD">'[2]Prices'!$D$10</definedName>
    <definedName name="CamelinaSeed">'Input Prices'!#REF!</definedName>
    <definedName name="CanolaSeed">'[1]PRICES'!$D$15</definedName>
    <definedName name="Capture">'[2]Prices'!$D$52</definedName>
    <definedName name="cashrent">'Input Prices'!$D$43</definedName>
    <definedName name="CFMC">'Machine Costs'!$C$44</definedName>
    <definedName name="ChemFallow">'Chem Fallow'!$A$7</definedName>
    <definedName name="CMC">'Machine Costs'!#REF!</definedName>
    <definedName name="COC">'Input Prices'!$D$27</definedName>
    <definedName name="CSD">'[2]Prices'!$D$15</definedName>
    <definedName name="customaerial">#REF!</definedName>
    <definedName name="D">'[2]Prices'!$D$5</definedName>
    <definedName name="Diesel">'Input Prices'!$D$13</definedName>
    <definedName name="Dimethoate">'[2]Prices'!$D$53</definedName>
    <definedName name="Discover">'[1]PRICES'!$D$32</definedName>
    <definedName name="DNSSeed">'[1]PRICES'!$D$11</definedName>
    <definedName name="DPesticide">'Input Prices'!$D$32</definedName>
    <definedName name="Excel">'Input Prices'!$D$28</definedName>
    <definedName name="Excel90">'[1]PRICES'!$D$24</definedName>
    <definedName name="Fargo">'[2]Prices'!$D$55</definedName>
    <definedName name="fertapp">'[2]Prices'!$D$40</definedName>
    <definedName name="FertilizerApplicator">'Input Prices'!$D$41</definedName>
    <definedName name="Finesse">'[1]PRICES'!$D$30</definedName>
    <definedName name="G">'[2]Prices'!$D$6</definedName>
    <definedName name="GarbanzoSeed">'[1]PRICES'!$D$14</definedName>
    <definedName name="Gas">'Input Prices'!$D$14</definedName>
    <definedName name="Glyphosphate">'[1]PRICES'!$H$18</definedName>
    <definedName name="GSD">'[2]Prices'!$D$14</definedName>
    <definedName name="HardRedSpringWheat">'Hard Red Spring Wheat'!$A$7</definedName>
    <definedName name="HardRedWheatSeed">'Input Prices'!$D$19</definedName>
    <definedName name="HourlyMachineLabor">'Input Prices'!$D$47</definedName>
    <definedName name="HRSWSD">'[2]Prices'!$D$11</definedName>
    <definedName name="Imidan">'[2]Prices'!$D$58</definedName>
    <definedName name="InPlace">'[1]PRICES'!$D$31</definedName>
    <definedName name="K">'[2]Prices'!$D$21</definedName>
    <definedName name="L">'[2]Prices'!$D$71</definedName>
    <definedName name="LandTax">'Input Prices'!$D$44</definedName>
    <definedName name="LentilSeed">'[1]PRICES'!$D$13</definedName>
    <definedName name="LSD">'[2]Prices'!$D$13</definedName>
    <definedName name="M">'Input Prices'!#REF!</definedName>
    <definedName name="Maverick">'Input Prices'!$D$36</definedName>
    <definedName name="N">'[1]PRICES'!$D$15</definedName>
    <definedName name="Nitrogen">'Input Prices'!$D$22</definedName>
    <definedName name="NitrogenPriceAssumption">'[1]PRICES'!$D$15</definedName>
    <definedName name="operloan">'Input Prices'!$D$50</definedName>
    <definedName name="opershare">'Summary'!$N$11</definedName>
    <definedName name="Osprey">'[2]Prices'!$D$60</definedName>
    <definedName name="ownershare">'Summary'!$N$12</definedName>
    <definedName name="P">'[1]PRICES'!$D$16</definedName>
    <definedName name="PeaSeed">'[1]PRICES'!$D$12</definedName>
    <definedName name="Phosphorous">'Input Prices'!$D$23</definedName>
    <definedName name="Poast">'Input Prices'!$D$37</definedName>
    <definedName name="Potassium">#REF!</definedName>
    <definedName name="_xlnm.Print_Area" localSheetId="6">'CF Calendar'!$B$2:$E$9</definedName>
    <definedName name="_xlnm.Print_Area" localSheetId="5">'Chem Fallow'!$B$8:$J$62</definedName>
    <definedName name="_xlnm.Print_Area" localSheetId="3">'Graphs'!$B$2:$H$50</definedName>
    <definedName name="_xlnm.Print_Area" localSheetId="11">'Hard Red Spring Wheat'!$B$8:$J$110</definedName>
    <definedName name="_xlnm.Print_Area" localSheetId="12">'HRSW Calendar'!$B$2:$E$18</definedName>
    <definedName name="_xlnm.Print_Area" localSheetId="4">'Input Prices'!$B$8:$E$53</definedName>
    <definedName name="_xlnm.Print_Area" localSheetId="1">'Instructions'!$B$2:$L$44</definedName>
    <definedName name="_xlnm.Print_Area" localSheetId="13">'Machine Costs'!$B$2:$M$105</definedName>
    <definedName name="_xlnm.Print_Area" localSheetId="14">'Machinery Complement'!$B$2:$L$21</definedName>
    <definedName name="_xlnm.Print_Area" localSheetId="10">'SB Calendar'!$B$2:$E$18</definedName>
    <definedName name="_xlnm.Print_Area" localSheetId="9">'Spring Barley'!$B$8:$J$108</definedName>
    <definedName name="_xlnm.Print_Area" localSheetId="2">'Summary'!$B$8:$P$31</definedName>
    <definedName name="_xlnm.Print_Area" localSheetId="0">'Title Page'!$A$1:$L$40</definedName>
    <definedName name="_xlnm.Print_Area" localSheetId="7">'Winter Wheat'!$B$8:$K$108</definedName>
    <definedName name="_xlnm.Print_Area" localSheetId="8">'WW Calendar'!$B$2:$E$14</definedName>
    <definedName name="_xlnm.Print_Titles" localSheetId="11">'Hard Red Spring Wheat'!$8:$9</definedName>
    <definedName name="_xlnm.Print_Titles" localSheetId="9">'Spring Barley'!$8:$9</definedName>
    <definedName name="_xlnm.Print_Titles" localSheetId="7">'Winter Wheat'!$8:$9</definedName>
    <definedName name="Prowl">'[2]Prices'!$D$61</definedName>
    <definedName name="PSD">'[2]Prices'!$D$12</definedName>
    <definedName name="Pursuit">'[2]Prices'!$D$62</definedName>
    <definedName name="Quadris">'[2]Prices'!$D$63</definedName>
    <definedName name="Quilt">'[2]Prices'!$D$64</definedName>
    <definedName name="RentalSprayer">'Input Prices'!$D$40</definedName>
    <definedName name="rippershooter">'[2]Prices'!$D$39</definedName>
    <definedName name="Roundup">'Input Prices'!$D$35</definedName>
    <definedName name="S">'[1]PRICES'!$D$17</definedName>
    <definedName name="SBMC">'Machine Costs'!$C$84</definedName>
    <definedName name="shredder">'[2]Prices'!$D$38</definedName>
    <definedName name="Sprayer">'[1]PRICES'!$D$36</definedName>
    <definedName name="SpringBarley">'Spring Barley'!$A$7</definedName>
    <definedName name="SpringPeaSeed">#REF!</definedName>
    <definedName name="Starane">'[2]Prices'!$D$65</definedName>
    <definedName name="StaraneSalvo">'[2]Prices'!$D$66</definedName>
    <definedName name="StaraneSword">'[2]Prices'!$D$67</definedName>
    <definedName name="StarSalvo">'[1]PRICES'!$H$27</definedName>
    <definedName name="Sulfur">'Input Prices'!$D$24</definedName>
    <definedName name="Surfactant">'Input Prices'!#REF!</definedName>
    <definedName name="SWMC">'Machine Costs'!$C$105</definedName>
    <definedName name="SWWSD">'[2]Prices'!$D$9</definedName>
    <definedName name="SylSticker">'Input Prices'!#REF!</definedName>
    <definedName name="Syltac">'[1]PRICES'!$D$27</definedName>
    <definedName name="SyltacS">'[1]PRICES'!#REF!</definedName>
    <definedName name="SyltacSticker">'[2]Prices'!#REF!</definedName>
    <definedName name="twofourD">'[2]Prices'!$D$45</definedName>
    <definedName name="UltraPro">'Input Prices'!$D$29</definedName>
    <definedName name="UltraProPest">'Input Prices'!#REF!</definedName>
    <definedName name="UltraProPesticide">'[1]PRICES'!$D$29</definedName>
    <definedName name="valmar">'Input Prices'!#REF!</definedName>
    <definedName name="WheatSeed">'Input Prices'!$D$17</definedName>
    <definedName name="WinterWheat">'Winter Wheat'!$A$7</definedName>
    <definedName name="WWMC">'Machine Costs'!$C$63</definedName>
    <definedName name="Z_5519EDA0_AC19_11DC_BDFC_0017F2D6B148_.wvu.Cols" localSheetId="5" hidden="1">'Chem Fallow'!$K:$K</definedName>
    <definedName name="Z_5519EDA0_AC19_11DC_BDFC_0017F2D6B148_.wvu.Cols" localSheetId="1" hidden="1">'Instructions'!$H:$H</definedName>
    <definedName name="Z_5519EDA0_AC19_11DC_BDFC_0017F2D6B148_.wvu.Cols" localSheetId="7" hidden="1">'Winter Wheat'!$K:$K</definedName>
    <definedName name="Z_5519EDA0_AC19_11DC_BDFC_0017F2D6B148_.wvu.PrintArea" localSheetId="7" hidden="1">'Winter Wheat'!$B$8:$K$76</definedName>
    <definedName name="Z_5519EDA0_AC19_11DC_BDFC_0017F2D6B148_.wvu.Rows" localSheetId="1" hidden="1">'Instructions'!$14:$15</definedName>
    <definedName name="Z_DF41C481_38FD_4F9F_AEF1_AE5420249928_.wvu.Cols" localSheetId="1" hidden="1">'Instructions'!$H:$H</definedName>
    <definedName name="Z_DF41C481_38FD_4F9F_AEF1_AE5420249928_.wvu.Cols" localSheetId="7" hidden="1">'Winter Wheat'!$K:$K</definedName>
    <definedName name="Z_DF41C481_38FD_4F9F_AEF1_AE5420249928_.wvu.PrintArea" localSheetId="7" hidden="1">'Winter Wheat'!$B$8:$K$76</definedName>
    <definedName name="Z_DF41C481_38FD_4F9F_AEF1_AE5420249928_.wvu.Rows" localSheetId="1" hidden="1">'Instructions'!$14:$15</definedName>
    <definedName name="Z_E00EC0C4_E70A_4D33_A9FE_7CF308F53A5C_.wvu.Cols" localSheetId="5" hidden="1">'Chem Fallow'!$K:$K</definedName>
    <definedName name="Z_E00EC0C4_E70A_4D33_A9FE_7CF308F53A5C_.wvu.Cols" localSheetId="1" hidden="1">'Instructions'!$H:$H</definedName>
    <definedName name="Z_E00EC0C4_E70A_4D33_A9FE_7CF308F53A5C_.wvu.Cols" localSheetId="7" hidden="1">'Winter Wheat'!$K:$K</definedName>
    <definedName name="Z_E00EC0C4_E70A_4D33_A9FE_7CF308F53A5C_.wvu.PrintArea" localSheetId="7" hidden="1">'Winter Wheat'!$B$8:$K$76</definedName>
    <definedName name="Z_E00EC0C4_E70A_4D33_A9FE_7CF308F53A5C_.wvu.Rows" localSheetId="1" hidden="1">'Instructions'!$14:$15</definedName>
  </definedNames>
  <calcPr fullCalcOnLoad="1"/>
</workbook>
</file>

<file path=xl/comments13.xml><?xml version="1.0" encoding="utf-8"?>
<comments xmlns="http://schemas.openxmlformats.org/spreadsheetml/2006/main">
  <authors>
    <author>Kate Painter</author>
  </authors>
  <commentList>
    <comment ref="C12" authorId="0">
      <text>
        <r>
          <rPr>
            <b/>
            <sz val="8"/>
            <rFont val="Tahoma"/>
            <family val="2"/>
          </rPr>
          <t>Soil test results will determine fertilizer needs, but a typical rate for this yield is provided.</t>
        </r>
      </text>
    </comment>
  </commentList>
</comments>
</file>

<file path=xl/sharedStrings.xml><?xml version="1.0" encoding="utf-8"?>
<sst xmlns="http://schemas.openxmlformats.org/spreadsheetml/2006/main" count="944" uniqueCount="371">
  <si>
    <t>Cost of producing chemical fallow, plus a 9% interest charge, are added to the cost of wheat production.</t>
  </si>
  <si>
    <t>Machinery:</t>
  </si>
  <si>
    <t>Storage Facility &amp; Equip. Repairs</t>
  </si>
  <si>
    <r>
      <t>Overhead</t>
    </r>
    <r>
      <rPr>
        <vertAlign val="superscript"/>
        <sz val="10"/>
        <rFont val="Arial"/>
        <family val="2"/>
      </rPr>
      <t>1</t>
    </r>
  </si>
  <si>
    <r>
      <t>Operating Interest</t>
    </r>
    <r>
      <rPr>
        <vertAlign val="superscript"/>
        <sz val="10"/>
        <rFont val="Arial"/>
        <family val="2"/>
      </rPr>
      <t>2</t>
    </r>
  </si>
  <si>
    <t>Orange Cells: You may adjust data in orange cells. All other data will adjust automatically.</t>
  </si>
  <si>
    <t>Summary of Returns by Crop and Rotation ($/acre/year)</t>
  </si>
  <si>
    <t>HRSW</t>
  </si>
  <si>
    <t>SB</t>
  </si>
  <si>
    <r>
      <t>1</t>
    </r>
    <r>
      <rPr>
        <sz val="10"/>
        <rFont val="Arial"/>
        <family val="0"/>
      </rPr>
      <t>Covers legal, accounting, and utility fees. Calculated as 5% of operating expenses.</t>
    </r>
  </si>
  <si>
    <r>
      <t>Overhead</t>
    </r>
    <r>
      <rPr>
        <vertAlign val="superscript"/>
        <sz val="10"/>
        <rFont val="Arial"/>
        <family val="2"/>
      </rPr>
      <t>2</t>
    </r>
  </si>
  <si>
    <r>
      <t>Operating Interest</t>
    </r>
    <r>
      <rPr>
        <vertAlign val="superscript"/>
        <sz val="10"/>
        <rFont val="Arial"/>
        <family val="2"/>
      </rPr>
      <t>3</t>
    </r>
  </si>
  <si>
    <r>
      <t>2</t>
    </r>
    <r>
      <rPr>
        <sz val="10"/>
        <rFont val="Arial"/>
        <family val="0"/>
      </rPr>
      <t>Covers legal, accounting, and utility fees. Calculated as 5% of operating expenses.</t>
    </r>
  </si>
  <si>
    <t>Note: Per Hour machinery costs can be changed in this master table and they will update throughout. Per acre costs are calculated in the Machinery Cost program using the values listed in the Machinery Complement tab.</t>
  </si>
  <si>
    <t>Labor (hr/acre)</t>
  </si>
  <si>
    <t xml:space="preserve">  Repairs ($/acre) </t>
  </si>
  <si>
    <t xml:space="preserve">  Repairs ($/acre)</t>
  </si>
  <si>
    <t>Labor ($/acre)</t>
  </si>
  <si>
    <t>Fuel ($/acre)</t>
  </si>
  <si>
    <r>
      <t>3</t>
    </r>
    <r>
      <rPr>
        <sz val="10"/>
        <rFont val="Arial"/>
        <family val="0"/>
      </rPr>
      <t>Calculated as 7% interest on operating capital for 6 months.</t>
    </r>
  </si>
  <si>
    <r>
      <t>2</t>
    </r>
    <r>
      <rPr>
        <sz val="10"/>
        <rFont val="Arial"/>
        <family val="0"/>
      </rPr>
      <t>Calculated as 7% interest on operating capital for 6 months.</t>
    </r>
  </si>
  <si>
    <t>350 HP-Challenger with:</t>
  </si>
  <si>
    <r>
      <t xml:space="preserve">Machinery Costs for Reduced Tillage </t>
    </r>
    <r>
      <rPr>
        <b/>
        <sz val="12"/>
        <color indexed="10"/>
        <rFont val="Arial"/>
        <family val="2"/>
      </rPr>
      <t>Chemical Fallow</t>
    </r>
    <r>
      <rPr>
        <b/>
        <sz val="12"/>
        <rFont val="Arial"/>
        <family val="2"/>
      </rPr>
      <t xml:space="preserve"> in the 15" to 18" Rainfall Zone, Eastern Washington ($/acre)</t>
    </r>
  </si>
  <si>
    <t>Back to Costs by Crop</t>
  </si>
  <si>
    <r>
      <t xml:space="preserve">Machinery Costs for Reduced Tillage </t>
    </r>
    <r>
      <rPr>
        <b/>
        <sz val="12"/>
        <color indexed="10"/>
        <rFont val="Arial"/>
        <family val="2"/>
      </rPr>
      <t>Winter Wheat</t>
    </r>
    <r>
      <rPr>
        <b/>
        <sz val="12"/>
        <rFont val="Arial"/>
        <family val="2"/>
      </rPr>
      <t xml:space="preserve"> in the 15" to 18" Rainfall Zone, Eastern Washington ($/acre)</t>
    </r>
  </si>
  <si>
    <t xml:space="preserve">Repairs ($/acre) </t>
  </si>
  <si>
    <r>
      <t xml:space="preserve">Machinery Costs for Reduced Tillage </t>
    </r>
    <r>
      <rPr>
        <b/>
        <sz val="12"/>
        <color indexed="10"/>
        <rFont val="Arial"/>
        <family val="2"/>
      </rPr>
      <t>Spring Barley</t>
    </r>
    <r>
      <rPr>
        <b/>
        <sz val="12"/>
        <rFont val="Arial"/>
        <family val="2"/>
      </rPr>
      <t xml:space="preserve"> in the 15" to 18" Rainfall Zone, Eastern Washington ($/acre)</t>
    </r>
  </si>
  <si>
    <r>
      <t xml:space="preserve">Machinery Costs for Reduced Tillage </t>
    </r>
    <r>
      <rPr>
        <b/>
        <sz val="12"/>
        <color indexed="10"/>
        <rFont val="Arial"/>
        <family val="2"/>
      </rPr>
      <t>Hard Red Spring Wheat</t>
    </r>
    <r>
      <rPr>
        <b/>
        <sz val="12"/>
        <rFont val="Arial"/>
        <family val="2"/>
      </rPr>
      <t xml:space="preserve"> in the 15" to 18" Rainfall Zone, Eastern Washington ($/acre)</t>
    </r>
  </si>
  <si>
    <t>Back to Costs to Crop</t>
  </si>
  <si>
    <t>Cash Rent</t>
  </si>
  <si>
    <t>Variable Costs</t>
  </si>
  <si>
    <t>Details on variable and fixed machinery costs, including fuel, repairs, and machine labor, are located in the</t>
  </si>
  <si>
    <t>Chemical Fallow Machinery Costs table.</t>
  </si>
  <si>
    <t xml:space="preserve">Details on variable and fixed machinery costs, including fuel, repairs, and machine labor, are located in the </t>
  </si>
  <si>
    <t>Winter Wheat Machinery Costs table.</t>
  </si>
  <si>
    <t>Spring Barley Machinery Costs table.</t>
  </si>
  <si>
    <t>Hard Red Spring Wheat Machinery Costs table.</t>
  </si>
  <si>
    <r>
      <t>1</t>
    </r>
    <r>
      <rPr>
        <sz val="10"/>
        <rFont val="Arial"/>
        <family val="0"/>
      </rPr>
      <t>Average Whitman County CRC insurance premium based on 2008 rates at 75% coverage.</t>
    </r>
  </si>
  <si>
    <t>Hard Red Spring Wheat (HRSW)</t>
  </si>
  <si>
    <t>Total Annual Usage (miles):</t>
  </si>
  <si>
    <t xml:space="preserve">  Depreciation</t>
  </si>
  <si>
    <t xml:space="preserve">  Interest</t>
  </si>
  <si>
    <t>Fixed Costs ($/acre):</t>
  </si>
  <si>
    <t>Variable Costs ($/acre):</t>
  </si>
  <si>
    <t>kpainter@wsu.edu</t>
  </si>
  <si>
    <t>4WD-ATV</t>
  </si>
  <si>
    <t>50HP-WT w/Bucket</t>
  </si>
  <si>
    <t>Equipment:</t>
  </si>
  <si>
    <t>Trucks:</t>
  </si>
  <si>
    <t>Miles/year:</t>
  </si>
  <si>
    <t>MPG:</t>
  </si>
  <si>
    <t>2-Ton Truck</t>
  </si>
  <si>
    <t>Tandem Axle Truck</t>
  </si>
  <si>
    <t>Trap Wagon</t>
  </si>
  <si>
    <t>3/4-Ton Pickup</t>
  </si>
  <si>
    <t>350HP Challenger</t>
  </si>
  <si>
    <t>WW = Winter Wheat</t>
  </si>
  <si>
    <t>HRSW = Hard Red Spring Wheat</t>
  </si>
  <si>
    <t>SB = Spring Barley</t>
  </si>
  <si>
    <t>WW, HRSW, CF</t>
  </si>
  <si>
    <t>(unit/ac)</t>
  </si>
  <si>
    <t>(Cost-Share)</t>
  </si>
  <si>
    <t>($/ac/yr)</t>
  </si>
  <si>
    <t>Machinery insurance, taxes, housing, licenses</t>
  </si>
  <si>
    <t>Photo: Terry Day</t>
  </si>
  <si>
    <r>
      <t>Crop insurance</t>
    </r>
    <r>
      <rPr>
        <vertAlign val="superscript"/>
        <sz val="10"/>
        <rFont val="Arial"/>
        <family val="2"/>
      </rPr>
      <t>1</t>
    </r>
  </si>
  <si>
    <t>I wish to thank everyone who helped gather all of the information needed to create these worksheets. First and foremost, I thank the farmers who were willing to take the time to share their enterprise information in order to create this worksheet. Without their assistance we would not be able to provide this critical information to others. Several colleagues at Washington State University helped as well, including Herbert Hinman (reviewer), Doug Youg (reviewer) Richard Koenig (fertility), Dennis Roe (machinery), and Steve Van Vleet. Sherri Van Vleet and Ellen Miller also provided vital assistance in creating these budgets. In addition, I wish to acknowledge the generous assistance of Robert Smathers, formerly at the University of Idaho. With his permission, we have used the UI spreadsheet format to present our budget information. However, I take responsibility for any errors in these budgets.</t>
  </si>
  <si>
    <t>Excel 90, 50 oz Ultra Pro</t>
  </si>
  <si>
    <t xml:space="preserve">Rental Sprayer, 22 oz Roundup, 3.2 oz </t>
  </si>
  <si>
    <t>Total Costs ($/acre)</t>
  </si>
  <si>
    <t>Net Returns Above Variable Costs</t>
  </si>
  <si>
    <t>Fixed Costs:</t>
  </si>
  <si>
    <t>Total Fixed Costs</t>
  </si>
  <si>
    <t>Fixed Costs per Unit</t>
  </si>
  <si>
    <t>Affiliate, School of Economic Sciences</t>
  </si>
  <si>
    <t>207A Hulbert Hall</t>
  </si>
  <si>
    <t>Pullman WA 99164-6210</t>
  </si>
  <si>
    <t>(509) 335-5807</t>
  </si>
  <si>
    <t>WW, SB, SF</t>
  </si>
  <si>
    <t>Summary of Returns by Crop and Rotation ($/acre/yr)</t>
  </si>
  <si>
    <t>Payment</t>
  </si>
  <si>
    <t>WW, HRSW, SF</t>
  </si>
  <si>
    <t>WW</t>
  </si>
  <si>
    <t>LEGEND:</t>
  </si>
  <si>
    <t>CF</t>
  </si>
  <si>
    <t>SF, CTWW</t>
  </si>
  <si>
    <t>CF, RTWW</t>
  </si>
  <si>
    <t>The 7% interest charge made against this average investment represents an opportunity cost (returns forgone by investing in a given machine implement rather than in an alternative investment) or interest paid on money borrowed to finance machine purchases, or both. Machinery interest cost for one acre of the crop enterprise being analyzed is determined by multiplying the respective machine hours per acre times the per hour interest costs shown in the machinery complement worksheet.</t>
  </si>
  <si>
    <t>April</t>
  </si>
  <si>
    <t>Crop Insurance</t>
  </si>
  <si>
    <t>Wheat</t>
  </si>
  <si>
    <t>bu</t>
  </si>
  <si>
    <t>Wheat Seed</t>
  </si>
  <si>
    <t>90, 50 oz Ultra Pro</t>
  </si>
  <si>
    <t>Rental Sprayer, 22 oz Roundup, 3.2 oz Excel</t>
  </si>
  <si>
    <t>October</t>
  </si>
  <si>
    <t>Shred Straw</t>
  </si>
  <si>
    <t>Production Costs for Direct-Seeded Spring Barley, 15-18" Precipitation</t>
  </si>
  <si>
    <t>Schedule of Operations for Direct-Seeded Winter Wheat, 15-18" Precipitation</t>
  </si>
  <si>
    <t>Production Costs for Direct-Seeded Winter Wheat, 15-18" Precipitation</t>
  </si>
  <si>
    <t>Schedule of Operations for Direct-Seeded Spring Barley, 15-18" Precipitation</t>
  </si>
  <si>
    <t xml:space="preserve">Yield </t>
  </si>
  <si>
    <t>Revenue</t>
  </si>
  <si>
    <t>over TC</t>
  </si>
  <si>
    <t>Variable</t>
  </si>
  <si>
    <t>over VC</t>
  </si>
  <si>
    <t>Fixed</t>
  </si>
  <si>
    <t>By Crop:</t>
  </si>
  <si>
    <t>per acre</t>
  </si>
  <si>
    <t>per unit</t>
  </si>
  <si>
    <t>($/acre)</t>
  </si>
  <si>
    <t>Costs (VC)</t>
  </si>
  <si>
    <t>Costs</t>
  </si>
  <si>
    <t>Labor</t>
  </si>
  <si>
    <t>Winter Wheat (WW)</t>
  </si>
  <si>
    <t>Spring Barley (SB)</t>
  </si>
  <si>
    <t>By Rotation:</t>
  </si>
  <si>
    <t>WW, SB, CF</t>
  </si>
  <si>
    <t>*Includes all applicable state and federal taxes.</t>
  </si>
  <si>
    <t>Machinery depreciation</t>
  </si>
  <si>
    <t>Machinery interest</t>
  </si>
  <si>
    <t>November</t>
  </si>
  <si>
    <t xml:space="preserve">  Taxes, Housing, Insurance, Licenses</t>
  </si>
  <si>
    <t>Total Cost</t>
  </si>
  <si>
    <t>0.75-Ton 4WD Pickup</t>
  </si>
  <si>
    <t>Tractors, other equipment:</t>
  </si>
  <si>
    <t>Total Annual Usage (hours):</t>
  </si>
  <si>
    <t>50HP-WT</t>
  </si>
  <si>
    <t>350HP-Challenger</t>
  </si>
  <si>
    <t>90' Sprayer</t>
  </si>
  <si>
    <t>26' Rotary Mower</t>
  </si>
  <si>
    <t>Price/unit</t>
  </si>
  <si>
    <t xml:space="preserve">Diesel </t>
  </si>
  <si>
    <t>Gas</t>
  </si>
  <si>
    <t>Adjuvants:</t>
  </si>
  <si>
    <t>pt</t>
  </si>
  <si>
    <t>Glyphosphate</t>
  </si>
  <si>
    <t>Custom Rental:</t>
  </si>
  <si>
    <t>90' Rental Sprayer</t>
  </si>
  <si>
    <t>Fertilizer Applicator</t>
  </si>
  <si>
    <t>Labor:</t>
  </si>
  <si>
    <t>Hourly machine labor*</t>
  </si>
  <si>
    <t>hour</t>
  </si>
  <si>
    <t>Schedule of Operations for Hard Red Spring Wheat, 15-18" Precipitation</t>
  </si>
  <si>
    <t>Total</t>
  </si>
  <si>
    <t>Returns</t>
  </si>
  <si>
    <t>Land</t>
  </si>
  <si>
    <t>Cost of</t>
  </si>
  <si>
    <t>Lub ($/acre)</t>
  </si>
  <si>
    <t>Fuel (gal/acre)</t>
  </si>
  <si>
    <t>Costs by Crop:</t>
  </si>
  <si>
    <t>Production Costs for Direct-Seeded Hard Red Spring Wheat, 15-18" Precipitation</t>
  </si>
  <si>
    <t>Please examine closely the assumptions we have used and make adjustments to reflect your particular operation. Adjustments in the variable costs can easily be made without affecting the overall accuracy of the budget information. Fixed costs in these budgets are based on a budget generator program that incorporates detailed information on the machinery complement and performs complex calculations based on machinery width, tractor horsepower, type of operation, etc. In the variable costs section, fuel and machinery repair costs will be affected by changes in machinery usage. The fixed costs section of the budget presents costs that are incurred regardless of crop production practices. These costs will change if your machinery complement differs from those in the worksheet.</t>
  </si>
  <si>
    <t>Repairs</t>
  </si>
  <si>
    <t>Gallons</t>
  </si>
  <si>
    <t>Housing,</t>
  </si>
  <si>
    <t>Type of</t>
  </si>
  <si>
    <t>Replacement</t>
  </si>
  <si>
    <t>Age When</t>
  </si>
  <si>
    <t>Years of</t>
  </si>
  <si>
    <t>Hours</t>
  </si>
  <si>
    <t>Salvage</t>
  </si>
  <si>
    <t>(Materials</t>
  </si>
  <si>
    <t>of</t>
  </si>
  <si>
    <t>Insur.,</t>
  </si>
  <si>
    <t>Acres</t>
  </si>
  <si>
    <t>Machine</t>
  </si>
  <si>
    <t>Value</t>
  </si>
  <si>
    <t>Purchased</t>
  </si>
  <si>
    <t>Life</t>
  </si>
  <si>
    <t>of Use</t>
  </si>
  <si>
    <t>&amp; Labor)</t>
  </si>
  <si>
    <t>Fuel/Hr.</t>
  </si>
  <si>
    <t>Licenses</t>
  </si>
  <si>
    <t>Multiplier</t>
  </si>
  <si>
    <t>per Hour</t>
  </si>
  <si>
    <t>$</t>
  </si>
  <si>
    <t>%</t>
  </si>
  <si>
    <t>Tractors, ATVs:</t>
  </si>
  <si>
    <t>Barley</t>
  </si>
  <si>
    <t>ton</t>
  </si>
  <si>
    <t>Barley Seed</t>
  </si>
  <si>
    <t>Bronate</t>
  </si>
  <si>
    <t>Hard Red Wheat</t>
  </si>
  <si>
    <t>Hard Red Wheat Seed</t>
  </si>
  <si>
    <t>Rental Sprayer, 8 oz 2,4-D, 0.1 oz Ally, 1 pt.</t>
  </si>
  <si>
    <t>Bronate, 4 oz Excel 90</t>
  </si>
  <si>
    <t>26' Mower</t>
  </si>
  <si>
    <t>350HP-CHAL, 90' Sprayer</t>
  </si>
  <si>
    <t>350HP-CHAL</t>
  </si>
  <si>
    <t>350HP CHAL, 90' Sprayer</t>
  </si>
  <si>
    <t>350HP-CHAL, 26' Mower</t>
  </si>
  <si>
    <t>35' Direct Seed Drill</t>
  </si>
  <si>
    <t>Machinery Labor</t>
  </si>
  <si>
    <t>Other Labor</t>
  </si>
  <si>
    <t>(Purchase Cost + Salvage Value)/2</t>
  </si>
  <si>
    <t>Land Costs:</t>
  </si>
  <si>
    <t>• Cultural practices</t>
  </si>
  <si>
    <t>• Size of farm enterprise</t>
  </si>
  <si>
    <t>• Crop yields</t>
  </si>
  <si>
    <t>• Input prices</t>
  </si>
  <si>
    <t>• Commodity prices</t>
  </si>
  <si>
    <t>• Management skill</t>
  </si>
  <si>
    <t>Total Variable Costs</t>
  </si>
  <si>
    <t>Variable Costs per Unit</t>
  </si>
  <si>
    <t>Rental Fertlizer Applicator</t>
  </si>
  <si>
    <t>Ally</t>
  </si>
  <si>
    <t xml:space="preserve">oz </t>
  </si>
  <si>
    <t>Machinery interest costs are calculated on the average annual investment in the machine. The formula used to calculate the average machine investment is:</t>
  </si>
  <si>
    <t xml:space="preserve">August </t>
  </si>
  <si>
    <t>While the owner-operator will not actually experience a land rental cost, this cost represents the minimum return owner-operators must realize to justify growing the crop themselves. This net rent return represents the income the owner-operator forgoes by producing the crop rather than renting to a tenant who produces the crop. As a result of owning land, the farmer receives both current returns from the farming operation and any long-term appreciation in land value. However, the farmer would continue to realize land value appreciation even if the land is rented out. Consequently, the appropriate land charge for growing the crop is only the forgone net rent. As used in this publication, for land that is owned and not rented, land cost is termed an opportunity cost to indicate that it is not an out-of-pocket expense, but rather a return that is forgone as a result of choosing to use the land to grow this crop. To determine the profitability of crop production relative to other activities, the owner-operator may want to consider these forgone returns, or opportunity costs, along with the usual production expenses.</t>
  </si>
  <si>
    <t>Sulfur</t>
  </si>
  <si>
    <t>Land Cost*</t>
  </si>
  <si>
    <t>*Based on Share Rent Percentage:</t>
  </si>
  <si>
    <t xml:space="preserve">  Landlord</t>
  </si>
  <si>
    <t xml:space="preserve">  Tenant</t>
  </si>
  <si>
    <t>• Type and size of machinery complement</t>
  </si>
  <si>
    <t>Crop Prices:</t>
  </si>
  <si>
    <t>Acknowledgments:</t>
  </si>
  <si>
    <t xml:space="preserve">Fuel </t>
  </si>
  <si>
    <t>Lubricants</t>
  </si>
  <si>
    <t>gal</t>
  </si>
  <si>
    <t>Month</t>
  </si>
  <si>
    <t>August</t>
  </si>
  <si>
    <t>Operation</t>
  </si>
  <si>
    <t>March</t>
  </si>
  <si>
    <t>Tooling</t>
  </si>
  <si>
    <t>Materials/Service</t>
  </si>
  <si>
    <t>Harvest</t>
  </si>
  <si>
    <t>2,4-D</t>
  </si>
  <si>
    <t>Maverick</t>
  </si>
  <si>
    <t>Roundup</t>
  </si>
  <si>
    <t>Spray Weeds</t>
  </si>
  <si>
    <t xml:space="preserve">May </t>
  </si>
  <si>
    <t>Rental Sprayer, 16 oz Roundup, 3.2 oz Excel</t>
  </si>
  <si>
    <t>oz</t>
  </si>
  <si>
    <t>Cost/Acre</t>
  </si>
  <si>
    <t>Gross Returns</t>
  </si>
  <si>
    <t>Seed:</t>
  </si>
  <si>
    <t>Fertilizer:</t>
  </si>
  <si>
    <t>Pesticides:</t>
  </si>
  <si>
    <t>Custom &amp; Consultants:</t>
  </si>
  <si>
    <t>Other:</t>
  </si>
  <si>
    <t>Machinery Repairs</t>
  </si>
  <si>
    <t>Machinery Complement for Reduced Tillage Dryland Grain Farm in the 15" to 18" Rainfall Zone, Eastern Washington</t>
  </si>
  <si>
    <t>Machinery Costs for Reduced Tillage Dryland Grain Farm in the 15" to 18" Rainfall Zone, Eastern Washington ($/acre)</t>
  </si>
  <si>
    <t>Input Prices:</t>
  </si>
  <si>
    <t>Winter Wheat</t>
  </si>
  <si>
    <t>Annual</t>
  </si>
  <si>
    <t>Taxes,</t>
  </si>
  <si>
    <t xml:space="preserve">Annual </t>
  </si>
  <si>
    <t>and crop insurance.</t>
  </si>
  <si>
    <t>Ownership Cost Breakeven</t>
  </si>
  <si>
    <t>Total Cost Breakeven</t>
  </si>
  <si>
    <t>http://csanr.wsu.edu/Publications/FarmMgmtEconomics.htm</t>
  </si>
  <si>
    <t>Since farming is inherently variable and constantly changing, we hope that this spreadsheet format will be helpful in adjusting these budgets to reflect your particular operation. Enterprise costs and returns vary from one location to the next and over time for any particular farming operation. Variability stems from differences in the following:</t>
  </si>
  <si>
    <t>Chem Fallow</t>
  </si>
  <si>
    <t>Spring Barley</t>
  </si>
  <si>
    <t>350HP-CHAL, 35' Direct Seed Drill</t>
  </si>
  <si>
    <t>• Capital, labor, and natural resources</t>
  </si>
  <si>
    <t>Land Taxes</t>
  </si>
  <si>
    <t>Schedule of Operations for Chemical Fallow Preceding Winter Wheat, 15-18" Precipitation</t>
  </si>
  <si>
    <t>Rental Sprayer, 22 oz Roundup, 3.2 oz Excel 90, 50 oz Ultra Pro</t>
  </si>
  <si>
    <t xml:space="preserve">Rental Sprayer, 12 oz Roundup, 3.2 oz Excel </t>
  </si>
  <si>
    <t>90, 50 oz  Ultra Pro</t>
  </si>
  <si>
    <t>May</t>
  </si>
  <si>
    <t>Seed/Fertilize</t>
  </si>
  <si>
    <t>Rental Sprayer, 8 oz 2,4-D, 1 pt Bronate, 4 oz</t>
  </si>
  <si>
    <t>Rental Sprayer</t>
  </si>
  <si>
    <t>Rental Fertilizer Applicator</t>
  </si>
  <si>
    <t>Production Costs for Chemical Fallow, 15-18" Precipitation</t>
  </si>
  <si>
    <t>Nitrogen</t>
  </si>
  <si>
    <t>September</t>
  </si>
  <si>
    <t>Nitrogen (dry)</t>
  </si>
  <si>
    <t>Phosphorous (dry)</t>
  </si>
  <si>
    <t xml:space="preserve">Machinery Repairs </t>
  </si>
  <si>
    <t>Ultra Pro</t>
  </si>
  <si>
    <t>Excel 90</t>
  </si>
  <si>
    <t>Under Reduced Tillage, Eastern Washington</t>
  </si>
  <si>
    <t>Share**</t>
  </si>
  <si>
    <t>Operator:</t>
  </si>
  <si>
    <t>Owner:</t>
  </si>
  <si>
    <t>**In this crop- and cost-share arrangement, the landowner and the farm manager split the crop and the specified costs: fertilizer, chemicals</t>
  </si>
  <si>
    <t>*August 2009 farmgate prices for grains, posted by the Union Elevator, Lind, WA, www.unionelevator.com, accessed Jan 2009.</t>
  </si>
  <si>
    <t>Rental Sprayer, 10 oz 2,4-D</t>
  </si>
  <si>
    <t xml:space="preserve">*Maverick is applied at the rate of 2/3 oz per acre on every other wheat crop. </t>
  </si>
  <si>
    <r>
      <t>Maverick</t>
    </r>
    <r>
      <rPr>
        <vertAlign val="superscript"/>
        <sz val="10"/>
        <rFont val="Arial"/>
        <family val="2"/>
      </rPr>
      <t>1</t>
    </r>
  </si>
  <si>
    <r>
      <t>1</t>
    </r>
    <r>
      <rPr>
        <sz val="10"/>
        <rFont val="Arial"/>
        <family val="0"/>
      </rPr>
      <t xml:space="preserve">Maverick is applied at the rate of 2/3 oz per acre on every other wheat crop. </t>
    </r>
  </si>
  <si>
    <r>
      <t>2</t>
    </r>
    <r>
      <rPr>
        <sz val="10"/>
        <rFont val="Arial"/>
        <family val="0"/>
      </rPr>
      <t>Average Whitman County CRC insurance premium based on 2008 rates at 75% coverage.</t>
    </r>
  </si>
  <si>
    <r>
      <t>4</t>
    </r>
    <r>
      <rPr>
        <sz val="10"/>
        <rFont val="Arial"/>
        <family val="0"/>
      </rPr>
      <t>Calculated as 7% interest on operating capital for 6 months.</t>
    </r>
  </si>
  <si>
    <r>
      <rPr>
        <vertAlign val="superscript"/>
        <sz val="10"/>
        <rFont val="Arial"/>
        <family val="2"/>
      </rPr>
      <t>3</t>
    </r>
    <r>
      <rPr>
        <sz val="10"/>
        <rFont val="Arial"/>
        <family val="0"/>
      </rPr>
      <t>Covers legal, accounting, and utility fees. Calculated as 5% of operating expenses.</t>
    </r>
  </si>
  <si>
    <t>Rental Sprayer, 10 oz 2,4-D, 1/3 oz Maverick*</t>
  </si>
  <si>
    <t>Machinery costs by operation and by crop are listed below:</t>
  </si>
  <si>
    <r>
      <rPr>
        <vertAlign val="superscript"/>
        <sz val="10"/>
        <rFont val="Arial"/>
        <family val="2"/>
      </rPr>
      <t>5</t>
    </r>
    <r>
      <rPr>
        <sz val="10"/>
        <rFont val="Arial"/>
        <family val="0"/>
      </rPr>
      <t>Chem fallow cost is calculated as the total cost for fallow production plus 9% interest.</t>
    </r>
  </si>
  <si>
    <r>
      <t>Chemical Fallow Cost</t>
    </r>
    <r>
      <rPr>
        <vertAlign val="superscript"/>
        <sz val="10"/>
        <rFont val="Arial"/>
        <family val="2"/>
      </rPr>
      <t>5</t>
    </r>
  </si>
  <si>
    <t>Fuel:</t>
  </si>
  <si>
    <t>Cash Rent:</t>
  </si>
  <si>
    <t>Land Rent</t>
  </si>
  <si>
    <t>Fuel</t>
  </si>
  <si>
    <t xml:space="preserve">Fertilizer prices are based on current (Nov 08) quotes, but they are subject to uncertainty. Chemical input prices are based on February, 2008, quotes from chemical and seed dealers. These prices are subject to change, however, and will affect profitability of different crops. Input price changes can be made on the Input Costs tab (located after the crop budgets). If changes are made on this tab, all of the cost calculations will be automatically updated. If input cost changes are made on individual crop price sheets, the input cost formulas will be over-ridden and this function will no longer work.  </t>
  </si>
  <si>
    <t>Operating Cost Breakeven</t>
  </si>
  <si>
    <t>Price</t>
  </si>
  <si>
    <t>lb</t>
  </si>
  <si>
    <t>acre</t>
  </si>
  <si>
    <t>Sulfur (dry)</t>
  </si>
  <si>
    <t>Rental Fertilizer Applicator,</t>
  </si>
  <si>
    <t>Hard Red Spring Wheat</t>
  </si>
  <si>
    <t xml:space="preserve">Rental Fertilizer Applicator, 90 lb Seed, </t>
  </si>
  <si>
    <t>Budget spreadsheets are available at the following link:</t>
  </si>
  <si>
    <t>Interest:</t>
  </si>
  <si>
    <t>Operating Loan</t>
  </si>
  <si>
    <t>Machinery Loan/investment</t>
  </si>
  <si>
    <t>Orange Cells: Adjust data in orange cells and all other data will be updated.</t>
  </si>
  <si>
    <r>
      <t xml:space="preserve">Land fixed costs include taxes and net rent, which are based on rental agreements typical for the area minus expenditures typically covered by the landlord. The typical lease agreement in the areas surveyed is a one-third land owner and two-third tenant crop share, with the land owner paying land taxes, one-third of the fertilizer cost, one-third of the chemical cost, and one-third of the crop insurance. The tenant covers all other production expenses. </t>
    </r>
    <r>
      <rPr>
        <b/>
        <sz val="10"/>
        <rFont val="Times New Roman"/>
        <family val="0"/>
      </rPr>
      <t>This crop-share percentage can be adjusted in the crop worksheets</t>
    </r>
    <r>
      <rPr>
        <sz val="10"/>
        <rFont val="Times New Roman"/>
        <family val="1"/>
      </rPr>
      <t xml:space="preserve">, thanks to Herb Hinman's contribution. This valuable tool reveals how factors such as crop and input price increases as well as cropping choices affect revenue for landlords and operators differently.
</t>
    </r>
  </si>
  <si>
    <t>Yellow Cells: Data are from Summary page (yellow tab).</t>
  </si>
  <si>
    <t>Orange Cells: You may adjust data in orange cells. All other data will adjust automatically to these changes.</t>
  </si>
  <si>
    <t>Green Cells: Data are from Input Costs page (green tab).</t>
  </si>
  <si>
    <t>Phosphorous</t>
  </si>
  <si>
    <t>Total Costs per Acre</t>
  </si>
  <si>
    <t>Total Cost per Unit</t>
  </si>
  <si>
    <t>Land Tax:</t>
  </si>
  <si>
    <t>Cost/Unit</t>
  </si>
  <si>
    <t>The machinery complement used in these calculations in presented in the last tab of this worksheet. Machinery fixed costs include depreciation, interest on the investment, property taxes, insurance, and housing. For the overall farm operation, these costs do not vary by crop, given the ownership of a specific machinery complement, and are incurred whether or not crops are grown. Machinery fixed costs for a specific field operation are determined by multiplying the machine hours per acre times per hour fixed cost. Per hour fixed costs are determined by dividing the total fixed cost by the annual hours of machinery use.</t>
  </si>
  <si>
    <t>Price*</t>
  </si>
  <si>
    <t>Budget spreadsheets are available at the following links:</t>
  </si>
  <si>
    <t>http://www.farm-mgmt.wsu.edu/WhatsNew.htm</t>
  </si>
  <si>
    <t>Returns to Risk</t>
  </si>
  <si>
    <t>Notes:</t>
  </si>
  <si>
    <t>Breakeven Analysis:</t>
  </si>
  <si>
    <t>-</t>
  </si>
  <si>
    <t>Base</t>
  </si>
  <si>
    <t>+</t>
  </si>
  <si>
    <t>Yield</t>
  </si>
  <si>
    <t>30' Combine</t>
  </si>
  <si>
    <t>Blue Cells: Data are from Machinery page (blue tab).</t>
  </si>
  <si>
    <r>
      <t xml:space="preserve">Legend: </t>
    </r>
    <r>
      <rPr>
        <b/>
        <i/>
        <sz val="10"/>
        <rFont val="Arial"/>
        <family val="0"/>
      </rPr>
      <t>Follow directions below to preserve equations in this spreadsheet</t>
    </r>
    <r>
      <rPr>
        <b/>
        <sz val="10"/>
        <rFont val="Arial"/>
        <family val="0"/>
      </rPr>
      <t>.</t>
    </r>
  </si>
  <si>
    <t>Crop Prices ($/bu):</t>
  </si>
  <si>
    <t>Input Prices</t>
  </si>
  <si>
    <t>INSTRUCTIONS AND ASSUMPTIONS</t>
  </si>
  <si>
    <t>2009 Crop Rotation Budgets for 15" to 18" Precipitation Zone</t>
  </si>
  <si>
    <r>
      <t>Kathleen Painter, PhD</t>
    </r>
    <r>
      <rPr>
        <vertAlign val="superscript"/>
        <sz val="10"/>
        <rFont val="Arial"/>
        <family val="2"/>
      </rPr>
      <t>1</t>
    </r>
    <r>
      <rPr>
        <sz val="10"/>
        <rFont val="Arial"/>
        <family val="0"/>
      </rPr>
      <t xml:space="preserve"> and Ellen Miller</t>
    </r>
    <r>
      <rPr>
        <vertAlign val="superscript"/>
        <sz val="10"/>
        <rFont val="Arial"/>
        <family val="2"/>
      </rPr>
      <t>2</t>
    </r>
  </si>
  <si>
    <r>
      <t>1</t>
    </r>
    <r>
      <rPr>
        <sz val="10"/>
        <rFont val="Arial"/>
        <family val="0"/>
      </rPr>
      <t>Analyst, Center for Sustaining Ag and Natural Resources</t>
    </r>
  </si>
  <si>
    <r>
      <t>2</t>
    </r>
    <r>
      <rPr>
        <sz val="10"/>
        <rFont val="Arial"/>
        <family val="0"/>
      </rPr>
      <t>Research Assistant, Washington State University</t>
    </r>
  </si>
  <si>
    <t>Machinery insurance, taxes housing, licenses</t>
  </si>
  <si>
    <t>72' Harrow</t>
  </si>
  <si>
    <t>Poast</t>
  </si>
  <si>
    <t>Crop Oil Concentrate</t>
  </si>
  <si>
    <t>Rental Fertilizer Applicator, 80 lb seed,</t>
  </si>
  <si>
    <t>Note: Farm size is assumed to be 3500 acres for the purposes of machinery cost calculations.</t>
  </si>
  <si>
    <t>Drill/Fertilize</t>
  </si>
  <si>
    <t>93 lb N, 8 lb P, 10 lb S</t>
  </si>
  <si>
    <t>80 lb Barley Seed, 60 lb N, 10 lb P, 10 lb S</t>
  </si>
  <si>
    <t>76 lb N, 10 lb P, 10 lb S</t>
  </si>
  <si>
    <t xml:space="preserve">Grain prices are based on futures prices for July and August 2009, as of Nov. 2008, FOB Lind, Washington. (Source: Union Elevator, http://www.unionelevator.com). </t>
  </si>
  <si>
    <t>Crop &amp; Cost</t>
  </si>
  <si>
    <t>Share to operator</t>
  </si>
  <si>
    <t>Share to owner</t>
  </si>
  <si>
    <r>
      <t>Operating Interest</t>
    </r>
    <r>
      <rPr>
        <vertAlign val="superscript"/>
        <sz val="10"/>
        <rFont val="Arial"/>
        <family val="2"/>
      </rPr>
      <t>4</t>
    </r>
  </si>
  <si>
    <r>
      <t>Overhead</t>
    </r>
    <r>
      <rPr>
        <vertAlign val="superscript"/>
        <sz val="10"/>
        <rFont val="Arial"/>
        <family val="2"/>
      </rPr>
      <t>3</t>
    </r>
  </si>
  <si>
    <r>
      <t>Crop insurance</t>
    </r>
    <r>
      <rPr>
        <vertAlign val="superscript"/>
        <sz val="10"/>
        <rFont val="Arial"/>
        <family val="2"/>
      </rPr>
      <t>2</t>
    </r>
  </si>
  <si>
    <t>***All chem fallow costs are included in the costs for producing winter wheat, plus one year's interest. These figures are for informational purposes only.</t>
  </si>
  <si>
    <t>Chem Fallow (CF)***</t>
  </si>
  <si>
    <t>Costs of production among producers tend to be somewhat similar for any particular production system, regardless of production level, when land costs are not taken into consideration. Since the net land rental value is based on production level, land cost varies directly with production level, which in turn directly affects total cost. Land costs, included either as real or as opportunity costs, are based on the share rental arrangement typical in the area. In our study, net land rental cost was calculated as:</t>
  </si>
  <si>
    <t>1/3 Crop Value – (1/3 Fertilizer Cost + 1/3 Chemical Cost + 1/3 Crop Insurance + Land Taxes)</t>
  </si>
  <si>
    <t>Quantity</t>
  </si>
  <si>
    <t>Price or</t>
  </si>
  <si>
    <t>Value or</t>
  </si>
  <si>
    <t>Item</t>
  </si>
  <si>
    <t>Per Acre</t>
  </si>
  <si>
    <t>Unit</t>
  </si>
  <si>
    <t>Machinery Costs: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</si>
</sst>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quot;$&quot;#,##0"/>
    <numFmt numFmtId="171" formatCode="[$-409]mmm\-yy;@"/>
    <numFmt numFmtId="172" formatCode="_(* #,##0.000_);_(* \(#,##0.000\);_(* &quot;-&quot;???_);_(@_)"/>
    <numFmt numFmtId="173" formatCode="_(* #,##0.0_);_(* \(#,##0.0\);_(* &quot;-&quot;?_);_(@_)"/>
    <numFmt numFmtId="174" formatCode="[$-409]dddd\,\ mmmm\ dd\,\ yyyy"/>
    <numFmt numFmtId="175" formatCode="[$-409]mmmm\ d\,\ yyyy;@"/>
  </numFmts>
  <fonts count="70">
    <font>
      <sz val="10"/>
      <name val="Arial"/>
      <family val="0"/>
    </font>
    <font>
      <sz val="12"/>
      <name val="Arial"/>
      <family val="2"/>
    </font>
    <font>
      <b/>
      <u val="single"/>
      <sz val="10"/>
      <name val="Arial"/>
      <family val="2"/>
    </font>
    <font>
      <u val="single"/>
      <sz val="10"/>
      <name val="Arial"/>
      <family val="2"/>
    </font>
    <font>
      <sz val="8"/>
      <name val="Arial"/>
      <family val="0"/>
    </font>
    <font>
      <b/>
      <sz val="10"/>
      <name val="Arial"/>
      <family val="0"/>
    </font>
    <font>
      <u val="single"/>
      <sz val="10"/>
      <color indexed="12"/>
      <name val="Arial"/>
      <family val="2"/>
    </font>
    <font>
      <u val="single"/>
      <sz val="10"/>
      <color indexed="61"/>
      <name val="Arial"/>
      <family val="2"/>
    </font>
    <font>
      <sz val="10"/>
      <color indexed="8"/>
      <name val="Arial"/>
      <family val="2"/>
    </font>
    <font>
      <sz val="8"/>
      <name val="Verdana"/>
      <family val="2"/>
    </font>
    <font>
      <b/>
      <i/>
      <sz val="10"/>
      <name val="Arial"/>
      <family val="0"/>
    </font>
    <font>
      <b/>
      <sz val="12"/>
      <name val="Arial"/>
      <family val="2"/>
    </font>
    <font>
      <i/>
      <sz val="10"/>
      <name val="Arial"/>
      <family val="0"/>
    </font>
    <font>
      <sz val="9"/>
      <name val="Arial"/>
      <family val="2"/>
    </font>
    <font>
      <b/>
      <sz val="9"/>
      <name val="Arial"/>
      <family val="2"/>
    </font>
    <font>
      <i/>
      <sz val="9"/>
      <name val="Arial"/>
      <family val="2"/>
    </font>
    <font>
      <b/>
      <sz val="14"/>
      <color indexed="8"/>
      <name val="Times New Roman"/>
      <family val="1"/>
    </font>
    <font>
      <b/>
      <sz val="8"/>
      <name val="Tahoma"/>
      <family val="2"/>
    </font>
    <font>
      <b/>
      <i/>
      <sz val="10"/>
      <color indexed="10"/>
      <name val="Arial"/>
      <family val="2"/>
    </font>
    <font>
      <sz val="10"/>
      <color indexed="10"/>
      <name val="Arial"/>
      <family val="2"/>
    </font>
    <font>
      <b/>
      <sz val="12"/>
      <color indexed="10"/>
      <name val="Arial"/>
      <family val="2"/>
    </font>
    <font>
      <u val="single"/>
      <sz val="12"/>
      <color indexed="12"/>
      <name val="Arial"/>
      <family val="2"/>
    </font>
    <font>
      <vertAlign val="superscript"/>
      <sz val="10"/>
      <name val="Arial"/>
      <family val="2"/>
    </font>
    <font>
      <u val="single"/>
      <sz val="11"/>
      <color indexed="12"/>
      <name val="Arial"/>
      <family val="2"/>
    </font>
    <font>
      <sz val="11"/>
      <name val="Arial"/>
      <family val="2"/>
    </font>
    <font>
      <sz val="9.25"/>
      <color indexed="8"/>
      <name val="Arial"/>
      <family val="0"/>
    </font>
    <font>
      <sz val="10"/>
      <name val="Times New Roman"/>
      <family val="1"/>
    </font>
    <font>
      <b/>
      <sz val="10"/>
      <name val="Times New Roman"/>
      <family val="0"/>
    </font>
    <font>
      <u val="single"/>
      <sz val="10"/>
      <name val="Times New Roman"/>
      <family val="0"/>
    </font>
    <font>
      <sz val="6"/>
      <color indexed="8"/>
      <name val="Arial"/>
      <family val="0"/>
    </font>
    <font>
      <sz val="8"/>
      <color indexed="8"/>
      <name val="Verdana"/>
      <family val="0"/>
    </font>
    <font>
      <sz val="7.35"/>
      <color indexed="8"/>
      <name val="Verdan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25"/>
      <color indexed="8"/>
      <name val="Arial"/>
      <family val="0"/>
    </font>
    <font>
      <b/>
      <sz val="11"/>
      <color indexed="8"/>
      <name val="Arial"/>
      <family val="0"/>
    </font>
    <font>
      <b/>
      <sz val="8"/>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
      <patternFill patternType="solid">
        <fgColor indexed="50"/>
        <bgColor indexed="64"/>
      </patternFill>
    </fill>
    <fill>
      <patternFill patternType="solid">
        <fgColor indexed="4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color indexed="22"/>
      </top>
      <bottom style="thin">
        <color indexed="22"/>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84">
    <xf numFmtId="0" fontId="0" fillId="0" borderId="0" xfId="0" applyAlignment="1">
      <alignment/>
    </xf>
    <xf numFmtId="0" fontId="0" fillId="0" borderId="10" xfId="0" applyBorder="1" applyAlignment="1">
      <alignment/>
    </xf>
    <xf numFmtId="0" fontId="1" fillId="33" borderId="0" xfId="0" applyFont="1" applyFill="1" applyAlignment="1">
      <alignment/>
    </xf>
    <xf numFmtId="0" fontId="1" fillId="33" borderId="0" xfId="0" applyFont="1" applyFill="1" applyAlignment="1">
      <alignment horizontal="center"/>
    </xf>
    <xf numFmtId="0" fontId="1" fillId="33" borderId="0" xfId="0" applyFont="1" applyFill="1" applyAlignment="1">
      <alignment horizontal="center" vertical="center"/>
    </xf>
    <xf numFmtId="0" fontId="1" fillId="34" borderId="0" xfId="0" applyFont="1" applyFill="1" applyAlignment="1">
      <alignment horizontal="center"/>
    </xf>
    <xf numFmtId="0" fontId="1" fillId="33" borderId="0" xfId="0" applyFont="1"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xf>
    <xf numFmtId="0" fontId="0" fillId="33" borderId="10" xfId="0" applyFill="1" applyBorder="1" applyAlignment="1">
      <alignment horizontal="center" vertical="center"/>
    </xf>
    <xf numFmtId="0" fontId="0" fillId="34" borderId="10" xfId="0" applyFill="1" applyBorder="1" applyAlignment="1">
      <alignment/>
    </xf>
    <xf numFmtId="0" fontId="2" fillId="33" borderId="0" xfId="0" applyFont="1" applyFill="1" applyBorder="1" applyAlignment="1">
      <alignment/>
    </xf>
    <xf numFmtId="0" fontId="0" fillId="33" borderId="0" xfId="0" applyFill="1" applyAlignment="1">
      <alignment/>
    </xf>
    <xf numFmtId="0" fontId="0" fillId="33" borderId="0" xfId="0" applyFill="1" applyAlignment="1">
      <alignment horizontal="center" vertical="center"/>
    </xf>
    <xf numFmtId="0" fontId="0" fillId="34" borderId="0" xfId="0" applyFill="1" applyAlignment="1">
      <alignment/>
    </xf>
    <xf numFmtId="0" fontId="0" fillId="0" borderId="0" xfId="0" applyBorder="1" applyAlignment="1" applyProtection="1">
      <alignment/>
      <protection locked="0"/>
    </xf>
    <xf numFmtId="0" fontId="0" fillId="33" borderId="0" xfId="0" applyFill="1" applyBorder="1" applyAlignment="1">
      <alignment/>
    </xf>
    <xf numFmtId="0" fontId="0" fillId="0" borderId="0" xfId="0" applyBorder="1" applyAlignment="1" applyProtection="1">
      <alignment horizontal="center" vertical="center"/>
      <protection locked="0"/>
    </xf>
    <xf numFmtId="164" fontId="0" fillId="34" borderId="0" xfId="0" applyNumberFormat="1" applyFill="1" applyBorder="1" applyAlignment="1" applyProtection="1">
      <alignment/>
      <protection/>
    </xf>
    <xf numFmtId="0" fontId="0" fillId="0" borderId="0" xfId="0" applyBorder="1" applyAlignment="1">
      <alignment/>
    </xf>
    <xf numFmtId="0" fontId="0" fillId="33" borderId="0" xfId="0" applyFill="1" applyBorder="1" applyAlignment="1">
      <alignment horizontal="center" vertical="center"/>
    </xf>
    <xf numFmtId="164" fontId="0" fillId="34" borderId="0" xfId="0" applyNumberFormat="1" applyFill="1" applyAlignment="1" applyProtection="1">
      <alignment/>
      <protection/>
    </xf>
    <xf numFmtId="164" fontId="0" fillId="34" borderId="0" xfId="0" applyNumberFormat="1" applyFill="1" applyAlignment="1" applyProtection="1">
      <alignment horizontal="left"/>
      <protection/>
    </xf>
    <xf numFmtId="0" fontId="0" fillId="0" borderId="0" xfId="0" applyAlignment="1" applyProtection="1">
      <alignment/>
      <protection locked="0"/>
    </xf>
    <xf numFmtId="0" fontId="0" fillId="0" borderId="0" xfId="0" applyAlignment="1" applyProtection="1">
      <alignment horizontal="center" vertical="center"/>
      <protection locked="0"/>
    </xf>
    <xf numFmtId="164" fontId="0" fillId="34" borderId="0" xfId="0" applyNumberFormat="1" applyFill="1" applyAlignment="1">
      <alignment/>
    </xf>
    <xf numFmtId="164" fontId="0" fillId="34" borderId="0" xfId="0" applyNumberFormat="1" applyFill="1" applyAlignment="1">
      <alignment horizontal="left"/>
    </xf>
    <xf numFmtId="0" fontId="0" fillId="0" borderId="0" xfId="0" applyAlignment="1">
      <alignment horizontal="center" vertical="center"/>
    </xf>
    <xf numFmtId="0" fontId="2" fillId="33" borderId="0" xfId="0" applyFont="1" applyFill="1" applyAlignment="1">
      <alignment/>
    </xf>
    <xf numFmtId="49" fontId="0" fillId="33" borderId="0" xfId="0" applyNumberFormat="1" applyFill="1" applyAlignment="1">
      <alignment horizontal="center"/>
    </xf>
    <xf numFmtId="9" fontId="0" fillId="0" borderId="0" xfId="0" applyNumberFormat="1" applyAlignment="1" applyProtection="1">
      <alignment horizontal="center"/>
      <protection locked="0"/>
    </xf>
    <xf numFmtId="49" fontId="0" fillId="33" borderId="10" xfId="0" applyNumberFormat="1" applyFill="1" applyBorder="1" applyAlignment="1">
      <alignment horizontal="center"/>
    </xf>
    <xf numFmtId="0" fontId="3" fillId="33" borderId="0" xfId="0" applyFont="1" applyFill="1" applyAlignment="1">
      <alignment horizontal="center"/>
    </xf>
    <xf numFmtId="0" fontId="0" fillId="33" borderId="11" xfId="0" applyFill="1" applyBorder="1" applyAlignment="1">
      <alignment/>
    </xf>
    <xf numFmtId="0" fontId="0" fillId="33" borderId="11" xfId="0" applyFill="1" applyBorder="1" applyAlignment="1">
      <alignment horizontal="center" vertical="center"/>
    </xf>
    <xf numFmtId="164" fontId="0" fillId="33" borderId="0" xfId="0" applyNumberFormat="1" applyFill="1" applyAlignment="1">
      <alignment horizontal="center" vertical="center"/>
    </xf>
    <xf numFmtId="164" fontId="0" fillId="33" borderId="11" xfId="0" applyNumberFormat="1" applyFill="1" applyBorder="1" applyAlignment="1">
      <alignment horizontal="center"/>
    </xf>
    <xf numFmtId="164" fontId="0" fillId="33" borderId="11" xfId="0" applyNumberFormat="1" applyFill="1" applyBorder="1" applyAlignment="1">
      <alignment horizontal="center" vertical="center"/>
    </xf>
    <xf numFmtId="165" fontId="0" fillId="33" borderId="0" xfId="0" applyNumberFormat="1" applyFill="1" applyAlignment="1">
      <alignment horizontal="center" vertical="center"/>
    </xf>
    <xf numFmtId="0" fontId="0" fillId="0" borderId="0" xfId="0" applyFill="1" applyAlignment="1">
      <alignment/>
    </xf>
    <xf numFmtId="0" fontId="0" fillId="35" borderId="10" xfId="0" applyFill="1" applyBorder="1" applyAlignment="1">
      <alignment/>
    </xf>
    <xf numFmtId="0" fontId="0" fillId="35" borderId="0" xfId="0" applyFill="1" applyAlignment="1">
      <alignment/>
    </xf>
    <xf numFmtId="0" fontId="0" fillId="36" borderId="12" xfId="0" applyFill="1" applyBorder="1" applyAlignment="1">
      <alignment/>
    </xf>
    <xf numFmtId="0" fontId="0" fillId="36" borderId="10" xfId="0" applyFill="1" applyBorder="1" applyAlignment="1">
      <alignment/>
    </xf>
    <xf numFmtId="0" fontId="0" fillId="34" borderId="12" xfId="0" applyFill="1" applyBorder="1" applyAlignment="1">
      <alignment/>
    </xf>
    <xf numFmtId="0" fontId="0" fillId="33" borderId="12" xfId="0" applyFill="1" applyBorder="1" applyAlignment="1">
      <alignment/>
    </xf>
    <xf numFmtId="0" fontId="0" fillId="37" borderId="0" xfId="0" applyFill="1" applyAlignment="1">
      <alignment/>
    </xf>
    <xf numFmtId="0" fontId="0" fillId="37" borderId="0" xfId="0" applyFill="1" applyAlignment="1">
      <alignment horizontal="center" vertical="center"/>
    </xf>
    <xf numFmtId="164" fontId="0" fillId="37" borderId="0" xfId="0" applyNumberFormat="1" applyFill="1"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0" fillId="33" borderId="0" xfId="0" applyFill="1" applyAlignment="1">
      <alignment horizontal="center"/>
    </xf>
    <xf numFmtId="164" fontId="0" fillId="0" borderId="0" xfId="0" applyNumberFormat="1" applyAlignment="1" applyProtection="1">
      <alignment horizontal="center"/>
      <protection locked="0"/>
    </xf>
    <xf numFmtId="0" fontId="5" fillId="37" borderId="0" xfId="0" applyFont="1" applyFill="1" applyAlignment="1">
      <alignment/>
    </xf>
    <xf numFmtId="0" fontId="5" fillId="0" borderId="0" xfId="0" applyFont="1" applyAlignment="1">
      <alignment/>
    </xf>
    <xf numFmtId="0" fontId="0" fillId="37" borderId="0" xfId="0" applyFill="1" applyBorder="1" applyAlignment="1">
      <alignment/>
    </xf>
    <xf numFmtId="0" fontId="0" fillId="36" borderId="0" xfId="0" applyFill="1" applyBorder="1" applyAlignment="1">
      <alignment/>
    </xf>
    <xf numFmtId="0" fontId="0" fillId="36" borderId="0" xfId="0" applyFill="1" applyBorder="1" applyAlignment="1">
      <alignment wrapText="1"/>
    </xf>
    <xf numFmtId="0" fontId="1" fillId="33" borderId="12" xfId="0" applyFont="1" applyFill="1" applyBorder="1" applyAlignment="1">
      <alignment/>
    </xf>
    <xf numFmtId="0" fontId="0" fillId="37" borderId="0" xfId="0" applyFill="1" applyAlignment="1">
      <alignment/>
    </xf>
    <xf numFmtId="0" fontId="5" fillId="33" borderId="10" xfId="0" applyFont="1" applyFill="1" applyBorder="1" applyAlignment="1">
      <alignment/>
    </xf>
    <xf numFmtId="0" fontId="5" fillId="33" borderId="10" xfId="0" applyFont="1" applyFill="1" applyBorder="1" applyAlignment="1">
      <alignment horizontal="center" vertical="center"/>
    </xf>
    <xf numFmtId="164" fontId="5" fillId="34" borderId="10" xfId="0" applyNumberFormat="1" applyFont="1" applyFill="1" applyBorder="1" applyAlignment="1">
      <alignment/>
    </xf>
    <xf numFmtId="0" fontId="0" fillId="0" borderId="0" xfId="0" applyFont="1" applyAlignment="1" applyProtection="1">
      <alignment/>
      <protection locked="0"/>
    </xf>
    <xf numFmtId="0" fontId="5" fillId="33" borderId="0" xfId="0" applyFont="1" applyFill="1" applyAlignment="1">
      <alignment/>
    </xf>
    <xf numFmtId="0" fontId="5" fillId="33" borderId="0" xfId="0" applyFont="1" applyFill="1" applyAlignment="1">
      <alignment horizontal="center" vertical="center"/>
    </xf>
    <xf numFmtId="164" fontId="5" fillId="34" borderId="0" xfId="0" applyNumberFormat="1" applyFont="1" applyFill="1" applyAlignment="1">
      <alignment/>
    </xf>
    <xf numFmtId="0" fontId="0" fillId="37" borderId="0" xfId="0" applyFill="1" applyBorder="1" applyAlignment="1">
      <alignment horizontal="center" vertical="center"/>
    </xf>
    <xf numFmtId="0" fontId="5" fillId="36" borderId="0" xfId="0" applyFont="1" applyFill="1" applyAlignment="1" applyProtection="1">
      <alignment/>
      <protection locked="0"/>
    </xf>
    <xf numFmtId="0" fontId="0" fillId="34" borderId="0" xfId="0" applyFill="1" applyBorder="1" applyAlignment="1">
      <alignment/>
    </xf>
    <xf numFmtId="0" fontId="0" fillId="37" borderId="0" xfId="0" applyFill="1" applyAlignment="1" applyProtection="1">
      <alignment vertical="top" wrapText="1"/>
      <protection locked="0"/>
    </xf>
    <xf numFmtId="0" fontId="0" fillId="0" borderId="0" xfId="0" applyFont="1" applyAlignment="1">
      <alignment/>
    </xf>
    <xf numFmtId="0" fontId="0" fillId="0" borderId="0" xfId="0" applyAlignment="1">
      <alignment horizontal="center"/>
    </xf>
    <xf numFmtId="0" fontId="0" fillId="37" borderId="0" xfId="0" applyFont="1" applyFill="1" applyAlignment="1">
      <alignment/>
    </xf>
    <xf numFmtId="0" fontId="0" fillId="33" borderId="0" xfId="0" applyFont="1" applyFill="1" applyAlignment="1">
      <alignment/>
    </xf>
    <xf numFmtId="0" fontId="0" fillId="33" borderId="0" xfId="0" applyFont="1" applyFill="1" applyAlignment="1">
      <alignment horizontal="center" vertical="center"/>
    </xf>
    <xf numFmtId="164" fontId="0" fillId="34" borderId="0" xfId="0" applyNumberFormat="1" applyFont="1" applyFill="1" applyAlignment="1">
      <alignment/>
    </xf>
    <xf numFmtId="0" fontId="0" fillId="37" borderId="0" xfId="0" applyFill="1" applyAlignment="1">
      <alignment horizontal="center"/>
    </xf>
    <xf numFmtId="0" fontId="0" fillId="33" borderId="0" xfId="0" applyFill="1" applyAlignment="1" applyProtection="1">
      <alignment horizontal="center"/>
      <protection locked="0"/>
    </xf>
    <xf numFmtId="1" fontId="8" fillId="37" borderId="13" xfId="0" applyNumberFormat="1" applyFont="1" applyFill="1" applyBorder="1" applyAlignment="1">
      <alignment horizontal="center"/>
    </xf>
    <xf numFmtId="0" fontId="5" fillId="33" borderId="10" xfId="0" applyFont="1" applyFill="1" applyBorder="1" applyAlignment="1">
      <alignment horizontal="center"/>
    </xf>
    <xf numFmtId="0" fontId="5" fillId="33" borderId="0" xfId="0" applyFont="1" applyFill="1" applyAlignment="1">
      <alignment horizontal="center"/>
    </xf>
    <xf numFmtId="0" fontId="0" fillId="37" borderId="0" xfId="0" applyFill="1" applyBorder="1" applyAlignment="1">
      <alignment horizontal="center"/>
    </xf>
    <xf numFmtId="164" fontId="0" fillId="33" borderId="0" xfId="0" applyNumberFormat="1" applyFill="1" applyAlignment="1">
      <alignment horizontal="center"/>
    </xf>
    <xf numFmtId="0" fontId="0" fillId="33" borderId="0" xfId="0" applyFill="1" applyBorder="1" applyAlignment="1">
      <alignment horizontal="center"/>
    </xf>
    <xf numFmtId="16" fontId="0" fillId="33" borderId="0" xfId="0" applyNumberFormat="1" applyFill="1" applyAlignment="1">
      <alignment horizontal="center"/>
    </xf>
    <xf numFmtId="0" fontId="5" fillId="36" borderId="0" xfId="0" applyFont="1" applyFill="1" applyAlignment="1" applyProtection="1">
      <alignment horizontal="center"/>
      <protection locked="0"/>
    </xf>
    <xf numFmtId="0" fontId="0" fillId="33" borderId="0" xfId="0" applyFont="1" applyFill="1" applyAlignment="1">
      <alignment horizontal="center"/>
    </xf>
    <xf numFmtId="0" fontId="0" fillId="33" borderId="11" xfId="0" applyFill="1" applyBorder="1" applyAlignment="1">
      <alignment horizontal="center"/>
    </xf>
    <xf numFmtId="0" fontId="0" fillId="37" borderId="0" xfId="0" applyFill="1" applyAlignment="1" applyProtection="1">
      <alignment horizontal="center" vertical="top" wrapText="1"/>
      <protection locked="0"/>
    </xf>
    <xf numFmtId="0" fontId="0" fillId="36" borderId="0" xfId="0" applyFill="1" applyAlignment="1">
      <alignment/>
    </xf>
    <xf numFmtId="1" fontId="0" fillId="36" borderId="0" xfId="0" applyNumberFormat="1" applyFill="1" applyAlignment="1">
      <alignment horizontal="center"/>
    </xf>
    <xf numFmtId="0" fontId="0" fillId="36" borderId="0" xfId="0" applyFill="1" applyAlignment="1">
      <alignment horizontal="center"/>
    </xf>
    <xf numFmtId="44" fontId="0" fillId="36" borderId="0" xfId="0" applyNumberFormat="1" applyFill="1" applyAlignment="1">
      <alignment/>
    </xf>
    <xf numFmtId="42" fontId="0" fillId="36" borderId="0" xfId="0" applyNumberFormat="1" applyFill="1" applyAlignment="1">
      <alignment horizontal="center"/>
    </xf>
    <xf numFmtId="42" fontId="5" fillId="36" borderId="0" xfId="0" applyNumberFormat="1" applyFont="1" applyFill="1" applyAlignment="1">
      <alignment horizontal="center"/>
    </xf>
    <xf numFmtId="42" fontId="0" fillId="33" borderId="0" xfId="0" applyNumberFormat="1" applyFill="1" applyBorder="1" applyAlignment="1">
      <alignment horizontal="center"/>
    </xf>
    <xf numFmtId="42" fontId="0" fillId="36" borderId="0" xfId="0" applyNumberFormat="1" applyFill="1" applyBorder="1" applyAlignment="1">
      <alignment horizontal="center"/>
    </xf>
    <xf numFmtId="42" fontId="5" fillId="36" borderId="0" xfId="0" applyNumberFormat="1" applyFont="1" applyFill="1" applyAlignment="1">
      <alignment/>
    </xf>
    <xf numFmtId="42" fontId="0" fillId="33" borderId="0" xfId="0" applyNumberFormat="1" applyFill="1" applyAlignment="1">
      <alignment horizontal="center"/>
    </xf>
    <xf numFmtId="42" fontId="0" fillId="33" borderId="0" xfId="0" applyNumberFormat="1" applyFill="1" applyAlignment="1">
      <alignment/>
    </xf>
    <xf numFmtId="42" fontId="0" fillId="36" borderId="0" xfId="0" applyNumberFormat="1" applyFill="1" applyAlignment="1">
      <alignment/>
    </xf>
    <xf numFmtId="42" fontId="0" fillId="33" borderId="0" xfId="0" applyNumberFormat="1" applyFont="1" applyFill="1" applyAlignment="1">
      <alignment/>
    </xf>
    <xf numFmtId="1" fontId="0" fillId="37" borderId="0" xfId="0" applyNumberFormat="1" applyFill="1" applyAlignment="1">
      <alignment horizontal="center"/>
    </xf>
    <xf numFmtId="44" fontId="0" fillId="37" borderId="0" xfId="0" applyNumberFormat="1" applyFill="1" applyAlignment="1">
      <alignment/>
    </xf>
    <xf numFmtId="44" fontId="5" fillId="37" borderId="0" xfId="0" applyNumberFormat="1" applyFont="1" applyFill="1" applyAlignment="1">
      <alignment/>
    </xf>
    <xf numFmtId="1" fontId="0" fillId="0" borderId="0" xfId="0" applyNumberFormat="1" applyAlignment="1">
      <alignment horizontal="center"/>
    </xf>
    <xf numFmtId="44" fontId="0" fillId="0" borderId="0" xfId="0" applyNumberFormat="1" applyAlignment="1">
      <alignment/>
    </xf>
    <xf numFmtId="44" fontId="5" fillId="0" borderId="0" xfId="0" applyNumberFormat="1" applyFont="1" applyAlignment="1">
      <alignment/>
    </xf>
    <xf numFmtId="0" fontId="0" fillId="38" borderId="0" xfId="0" applyFill="1" applyAlignment="1">
      <alignment/>
    </xf>
    <xf numFmtId="0" fontId="4" fillId="37" borderId="0" xfId="0" applyFont="1" applyFill="1" applyAlignment="1">
      <alignment textRotation="90"/>
    </xf>
    <xf numFmtId="2" fontId="0" fillId="38" borderId="0" xfId="0" applyNumberFormat="1" applyFill="1" applyAlignment="1">
      <alignment/>
    </xf>
    <xf numFmtId="0" fontId="5" fillId="38" borderId="0" xfId="0" applyFont="1" applyFill="1" applyBorder="1" applyAlignment="1">
      <alignment horizontal="left"/>
    </xf>
    <xf numFmtId="2" fontId="5" fillId="38" borderId="0" xfId="0" applyNumberFormat="1" applyFont="1" applyFill="1" applyAlignment="1">
      <alignment/>
    </xf>
    <xf numFmtId="0" fontId="2" fillId="38" borderId="0" xfId="0" applyFont="1" applyFill="1" applyAlignment="1">
      <alignment horizontal="center"/>
    </xf>
    <xf numFmtId="0" fontId="0" fillId="38" borderId="0" xfId="0" applyFill="1" applyAlignment="1" applyProtection="1">
      <alignment horizontal="center"/>
      <protection locked="0"/>
    </xf>
    <xf numFmtId="170" fontId="0" fillId="38" borderId="0" xfId="0" applyNumberFormat="1" applyFill="1" applyAlignment="1">
      <alignment/>
    </xf>
    <xf numFmtId="0" fontId="11" fillId="38" borderId="0" xfId="0" applyFont="1" applyFill="1" applyAlignment="1">
      <alignment/>
    </xf>
    <xf numFmtId="0" fontId="0" fillId="38" borderId="0" xfId="0" applyFill="1" applyAlignment="1">
      <alignment horizontal="center"/>
    </xf>
    <xf numFmtId="0" fontId="0" fillId="38" borderId="0" xfId="0" applyFill="1" applyAlignment="1" applyProtection="1">
      <alignment/>
      <protection locked="0"/>
    </xf>
    <xf numFmtId="0" fontId="0" fillId="38" borderId="0" xfId="0" applyFill="1" applyAlignment="1">
      <alignment/>
    </xf>
    <xf numFmtId="0" fontId="5" fillId="38" borderId="0" xfId="0" applyFont="1" applyFill="1" applyAlignment="1">
      <alignment/>
    </xf>
    <xf numFmtId="1" fontId="0" fillId="38" borderId="0" xfId="0" applyNumberFormat="1" applyFill="1" applyAlignment="1">
      <alignment horizontal="center"/>
    </xf>
    <xf numFmtId="0" fontId="5" fillId="38" borderId="0" xfId="0" applyFont="1" applyFill="1" applyAlignment="1" applyProtection="1">
      <alignment/>
      <protection locked="0"/>
    </xf>
    <xf numFmtId="170" fontId="5" fillId="38" borderId="0" xfId="0" applyNumberFormat="1" applyFont="1" applyFill="1" applyAlignment="1">
      <alignment/>
    </xf>
    <xf numFmtId="0" fontId="0" fillId="36" borderId="0" xfId="0" applyFill="1" applyAlignment="1" applyProtection="1">
      <alignment horizontal="center"/>
      <protection locked="0"/>
    </xf>
    <xf numFmtId="164" fontId="0" fillId="37" borderId="0" xfId="0" applyNumberFormat="1" applyFont="1" applyFill="1" applyAlignment="1">
      <alignment horizontal="center"/>
    </xf>
    <xf numFmtId="0" fontId="0" fillId="37" borderId="0" xfId="0" applyFont="1" applyFill="1" applyAlignment="1">
      <alignment horizontal="center"/>
    </xf>
    <xf numFmtId="0" fontId="0" fillId="36" borderId="14" xfId="0" applyFont="1" applyFill="1" applyBorder="1" applyAlignment="1">
      <alignment/>
    </xf>
    <xf numFmtId="0" fontId="10" fillId="36" borderId="15" xfId="0" applyFont="1" applyFill="1" applyBorder="1" applyAlignment="1">
      <alignment/>
    </xf>
    <xf numFmtId="0" fontId="10" fillId="36" borderId="15" xfId="0" applyFont="1" applyFill="1" applyBorder="1" applyAlignment="1">
      <alignment wrapText="1"/>
    </xf>
    <xf numFmtId="164" fontId="0" fillId="36" borderId="15" xfId="0" applyNumberFormat="1" applyFill="1" applyBorder="1" applyAlignment="1">
      <alignment horizontal="center"/>
    </xf>
    <xf numFmtId="0" fontId="0" fillId="36" borderId="16" xfId="0" applyFont="1" applyFill="1" applyBorder="1" applyAlignment="1">
      <alignment/>
    </xf>
    <xf numFmtId="0" fontId="0" fillId="0" borderId="0" xfId="0" applyFont="1" applyAlignment="1">
      <alignment/>
    </xf>
    <xf numFmtId="0" fontId="16" fillId="37" borderId="0" xfId="0" applyFont="1" applyFill="1" applyAlignment="1">
      <alignment horizontal="center"/>
    </xf>
    <xf numFmtId="0" fontId="12" fillId="34" borderId="0" xfId="0" applyFont="1" applyFill="1" applyAlignment="1">
      <alignment/>
    </xf>
    <xf numFmtId="0" fontId="0" fillId="34" borderId="0" xfId="0" applyFont="1" applyFill="1" applyAlignment="1">
      <alignment/>
    </xf>
    <xf numFmtId="0" fontId="0" fillId="34" borderId="0" xfId="0" applyFont="1" applyFill="1" applyAlignment="1">
      <alignment horizontal="center"/>
    </xf>
    <xf numFmtId="1" fontId="0" fillId="34" borderId="0" xfId="0" applyNumberFormat="1" applyFont="1" applyFill="1" applyAlignment="1">
      <alignment horizontal="center"/>
    </xf>
    <xf numFmtId="44" fontId="0" fillId="34" borderId="0" xfId="0" applyNumberFormat="1" applyFont="1" applyFill="1" applyAlignment="1">
      <alignment/>
    </xf>
    <xf numFmtId="170" fontId="0" fillId="34" borderId="0" xfId="0" applyNumberFormat="1" applyFont="1" applyFill="1" applyAlignment="1">
      <alignment horizontal="center"/>
    </xf>
    <xf numFmtId="44" fontId="0" fillId="34" borderId="0" xfId="0" applyNumberFormat="1" applyFont="1" applyFill="1" applyAlignment="1">
      <alignment horizontal="center"/>
    </xf>
    <xf numFmtId="0" fontId="3" fillId="34" borderId="0" xfId="0" applyFont="1" applyFill="1" applyAlignment="1">
      <alignment/>
    </xf>
    <xf numFmtId="0" fontId="3" fillId="34" borderId="0" xfId="0" applyFont="1" applyFill="1" applyAlignment="1">
      <alignment horizontal="center"/>
    </xf>
    <xf numFmtId="1" fontId="3" fillId="34" borderId="0" xfId="0" applyNumberFormat="1" applyFont="1" applyFill="1" applyAlignment="1">
      <alignment horizontal="center"/>
    </xf>
    <xf numFmtId="44" fontId="3" fillId="34" borderId="0" xfId="0" applyNumberFormat="1" applyFont="1" applyFill="1" applyAlignment="1">
      <alignment horizontal="center"/>
    </xf>
    <xf numFmtId="1" fontId="0" fillId="34" borderId="0" xfId="0" applyNumberFormat="1" applyFont="1" applyFill="1" applyBorder="1" applyAlignment="1">
      <alignment horizontal="center"/>
    </xf>
    <xf numFmtId="0" fontId="0" fillId="34" borderId="0" xfId="0" applyFont="1" applyFill="1" applyBorder="1" applyAlignment="1">
      <alignment horizontal="center"/>
    </xf>
    <xf numFmtId="170" fontId="3" fillId="34" borderId="0" xfId="0" applyNumberFormat="1" applyFont="1" applyFill="1" applyAlignment="1">
      <alignment horizontal="center"/>
    </xf>
    <xf numFmtId="0" fontId="0" fillId="37" borderId="0" xfId="0" applyFont="1" applyFill="1" applyAlignment="1">
      <alignment/>
    </xf>
    <xf numFmtId="0" fontId="0" fillId="36" borderId="16" xfId="0" applyFont="1" applyFill="1" applyBorder="1" applyAlignment="1">
      <alignment horizontal="center"/>
    </xf>
    <xf numFmtId="0" fontId="0" fillId="36" borderId="14" xfId="0" applyFont="1" applyFill="1" applyBorder="1" applyAlignment="1">
      <alignment horizontal="center"/>
    </xf>
    <xf numFmtId="0" fontId="0" fillId="36" borderId="17" xfId="0" applyFont="1" applyFill="1" applyBorder="1" applyAlignment="1">
      <alignment horizontal="center"/>
    </xf>
    <xf numFmtId="0" fontId="0" fillId="36" borderId="17" xfId="0" applyFont="1" applyFill="1" applyBorder="1" applyAlignment="1">
      <alignment/>
    </xf>
    <xf numFmtId="164" fontId="0" fillId="0" borderId="0" xfId="0" applyNumberFormat="1" applyAlignment="1" applyProtection="1">
      <alignment horizontal="center"/>
      <protection/>
    </xf>
    <xf numFmtId="0" fontId="6" fillId="37" borderId="0" xfId="53" applyFill="1" applyAlignment="1" applyProtection="1">
      <alignment/>
      <protection/>
    </xf>
    <xf numFmtId="0" fontId="1" fillId="0" borderId="0" xfId="0" applyFont="1" applyBorder="1" applyAlignment="1">
      <alignment/>
    </xf>
    <xf numFmtId="0" fontId="1" fillId="37" borderId="0" xfId="0" applyFont="1" applyFill="1" applyAlignment="1">
      <alignment/>
    </xf>
    <xf numFmtId="0" fontId="11" fillId="37" borderId="0" xfId="0" applyFont="1" applyFill="1" applyAlignment="1">
      <alignment/>
    </xf>
    <xf numFmtId="0" fontId="11" fillId="0" borderId="0" xfId="0" applyFont="1" applyAlignment="1">
      <alignment/>
    </xf>
    <xf numFmtId="0" fontId="12" fillId="37" borderId="0" xfId="0" applyFont="1" applyFill="1" applyAlignment="1">
      <alignment/>
    </xf>
    <xf numFmtId="0" fontId="0" fillId="34" borderId="12" xfId="0" applyFont="1" applyFill="1" applyBorder="1" applyAlignment="1">
      <alignment/>
    </xf>
    <xf numFmtId="0" fontId="0" fillId="34" borderId="10" xfId="0" applyFont="1" applyFill="1" applyBorder="1" applyAlignment="1">
      <alignment/>
    </xf>
    <xf numFmtId="0" fontId="0" fillId="36" borderId="11" xfId="0" applyFont="1" applyFill="1" applyBorder="1" applyAlignment="1">
      <alignment/>
    </xf>
    <xf numFmtId="0" fontId="0" fillId="36" borderId="11" xfId="0" applyFont="1" applyFill="1" applyBorder="1" applyAlignment="1">
      <alignment wrapText="1"/>
    </xf>
    <xf numFmtId="0" fontId="0" fillId="34" borderId="12" xfId="0" applyFont="1" applyFill="1" applyBorder="1" applyAlignment="1">
      <alignment/>
    </xf>
    <xf numFmtId="0" fontId="0" fillId="34" borderId="10" xfId="0" applyFont="1" applyFill="1" applyBorder="1" applyAlignment="1">
      <alignment/>
    </xf>
    <xf numFmtId="0" fontId="0" fillId="33" borderId="12" xfId="0" applyFont="1" applyFill="1" applyBorder="1" applyAlignment="1">
      <alignment/>
    </xf>
    <xf numFmtId="0" fontId="0" fillId="33" borderId="10" xfId="0" applyFont="1" applyFill="1" applyBorder="1" applyAlignment="1">
      <alignment/>
    </xf>
    <xf numFmtId="1" fontId="0" fillId="33" borderId="0" xfId="0" applyNumberFormat="1" applyFont="1" applyFill="1" applyAlignment="1">
      <alignment horizontal="left"/>
    </xf>
    <xf numFmtId="1" fontId="0" fillId="33" borderId="0" xfId="0" applyNumberFormat="1" applyFont="1" applyFill="1" applyAlignment="1">
      <alignment horizontal="center"/>
    </xf>
    <xf numFmtId="170" fontId="0" fillId="33" borderId="0" xfId="0" applyNumberFormat="1" applyFont="1" applyFill="1" applyAlignment="1">
      <alignment horizontal="center"/>
    </xf>
    <xf numFmtId="1" fontId="0" fillId="36" borderId="0" xfId="0" applyNumberFormat="1" applyFont="1" applyFill="1" applyAlignment="1">
      <alignment horizontal="left"/>
    </xf>
    <xf numFmtId="1" fontId="0" fillId="36" borderId="0" xfId="0" applyNumberFormat="1" applyFont="1" applyFill="1" applyAlignment="1">
      <alignment horizontal="center"/>
    </xf>
    <xf numFmtId="0" fontId="0" fillId="34" borderId="0" xfId="0" applyFont="1" applyFill="1" applyAlignment="1">
      <alignment horizontal="center"/>
    </xf>
    <xf numFmtId="1" fontId="0" fillId="36" borderId="0" xfId="0" applyNumberFormat="1" applyFill="1" applyAlignment="1">
      <alignment horizontal="left"/>
    </xf>
    <xf numFmtId="170" fontId="0" fillId="36" borderId="0" xfId="0" applyNumberFormat="1" applyFill="1" applyAlignment="1">
      <alignment horizontal="center"/>
    </xf>
    <xf numFmtId="2" fontId="0" fillId="37" borderId="0" xfId="0" applyNumberFormat="1" applyFill="1" applyAlignment="1">
      <alignment/>
    </xf>
    <xf numFmtId="0" fontId="5" fillId="34" borderId="15" xfId="0" applyFont="1" applyFill="1" applyBorder="1" applyAlignment="1">
      <alignment/>
    </xf>
    <xf numFmtId="164" fontId="5" fillId="34" borderId="15" xfId="0" applyNumberFormat="1" applyFont="1" applyFill="1" applyBorder="1" applyAlignment="1">
      <alignment/>
    </xf>
    <xf numFmtId="4" fontId="0" fillId="37" borderId="0" xfId="0" applyNumberFormat="1" applyFill="1" applyAlignment="1">
      <alignment/>
    </xf>
    <xf numFmtId="164" fontId="0" fillId="34" borderId="10" xfId="0" applyNumberFormat="1" applyFill="1" applyBorder="1" applyAlignment="1">
      <alignment/>
    </xf>
    <xf numFmtId="0" fontId="0" fillId="0" borderId="0" xfId="0" applyFill="1" applyAlignment="1" applyProtection="1">
      <alignment horizontal="center"/>
      <protection locked="0"/>
    </xf>
    <xf numFmtId="0" fontId="1" fillId="37" borderId="0" xfId="0" applyFont="1" applyFill="1" applyBorder="1" applyAlignment="1">
      <alignment/>
    </xf>
    <xf numFmtId="164" fontId="0" fillId="37" borderId="0" xfId="0" applyNumberFormat="1" applyFill="1" applyAlignment="1">
      <alignment/>
    </xf>
    <xf numFmtId="0" fontId="0" fillId="0" borderId="0" xfId="0" applyAlignment="1">
      <alignment wrapText="1"/>
    </xf>
    <xf numFmtId="0" fontId="0" fillId="37" borderId="12" xfId="0" applyFill="1" applyBorder="1" applyAlignment="1">
      <alignment wrapText="1"/>
    </xf>
    <xf numFmtId="0" fontId="0" fillId="36" borderId="15" xfId="0" applyFill="1" applyBorder="1" applyAlignment="1">
      <alignment horizontal="center" wrapText="1"/>
    </xf>
    <xf numFmtId="0" fontId="0" fillId="36" borderId="15" xfId="0" applyFill="1" applyBorder="1" applyAlignment="1">
      <alignment horizontal="center"/>
    </xf>
    <xf numFmtId="164" fontId="0" fillId="36" borderId="15" xfId="0" applyNumberFormat="1" applyFill="1" applyBorder="1" applyAlignment="1">
      <alignment horizontal="center" wrapText="1"/>
    </xf>
    <xf numFmtId="164" fontId="0" fillId="33" borderId="15" xfId="0" applyNumberFormat="1" applyFill="1" applyBorder="1" applyAlignment="1">
      <alignment horizontal="center" wrapText="1"/>
    </xf>
    <xf numFmtId="4" fontId="0" fillId="33" borderId="15" xfId="0" applyNumberFormat="1" applyFont="1" applyFill="1" applyBorder="1" applyAlignment="1">
      <alignment horizontal="center" wrapText="1"/>
    </xf>
    <xf numFmtId="0" fontId="0" fillId="37" borderId="0" xfId="0" applyFill="1" applyBorder="1" applyAlignment="1">
      <alignment wrapText="1"/>
    </xf>
    <xf numFmtId="0" fontId="21" fillId="37" borderId="0" xfId="53" applyFont="1" applyFill="1" applyAlignment="1" applyProtection="1">
      <alignment/>
      <protection/>
    </xf>
    <xf numFmtId="0" fontId="0" fillId="33" borderId="0" xfId="0" applyFill="1" applyAlignment="1" applyProtection="1">
      <alignment horizontal="center" vertical="center"/>
      <protection locked="0"/>
    </xf>
    <xf numFmtId="164" fontId="0" fillId="33" borderId="0" xfId="0" applyNumberFormat="1" applyFill="1" applyAlignment="1" applyProtection="1">
      <alignment horizontal="center"/>
      <protection locked="0"/>
    </xf>
    <xf numFmtId="0" fontId="0" fillId="0" borderId="0" xfId="0" applyFill="1" applyAlignment="1">
      <alignment horizontal="center"/>
    </xf>
    <xf numFmtId="0" fontId="0" fillId="0" borderId="0" xfId="0" applyFill="1" applyAlignment="1">
      <alignment horizontal="center" vertical="center"/>
    </xf>
    <xf numFmtId="2" fontId="0" fillId="33" borderId="11" xfId="0" applyNumberFormat="1" applyFill="1" applyBorder="1" applyAlignment="1">
      <alignment horizontal="center"/>
    </xf>
    <xf numFmtId="0" fontId="0" fillId="33" borderId="0" xfId="0" applyFill="1" applyAlignment="1" applyProtection="1">
      <alignment/>
      <protection locked="0"/>
    </xf>
    <xf numFmtId="0" fontId="10" fillId="34" borderId="0" xfId="0" applyFont="1" applyFill="1" applyBorder="1" applyAlignment="1">
      <alignment horizontal="center"/>
    </xf>
    <xf numFmtId="0" fontId="3" fillId="37" borderId="0" xfId="53" applyFont="1" applyFill="1" applyAlignment="1" applyProtection="1">
      <alignment/>
      <protection/>
    </xf>
    <xf numFmtId="0" fontId="0" fillId="37" borderId="0" xfId="0" applyFont="1" applyFill="1" applyAlignment="1">
      <alignment/>
    </xf>
    <xf numFmtId="0" fontId="0" fillId="37" borderId="0" xfId="0" applyFont="1" applyFill="1" applyAlignment="1">
      <alignment horizontal="center"/>
    </xf>
    <xf numFmtId="0" fontId="22" fillId="37" borderId="0" xfId="0" applyFont="1" applyFill="1" applyAlignment="1">
      <alignment horizontal="center"/>
    </xf>
    <xf numFmtId="0" fontId="0" fillId="38" borderId="0" xfId="0" applyFont="1" applyFill="1" applyAlignment="1">
      <alignment/>
    </xf>
    <xf numFmtId="0" fontId="0" fillId="34" borderId="18" xfId="0" applyFont="1" applyFill="1" applyBorder="1" applyAlignment="1">
      <alignment/>
    </xf>
    <xf numFmtId="0" fontId="5" fillId="34" borderId="0" xfId="0" applyNumberFormat="1" applyFont="1" applyFill="1" applyBorder="1" applyAlignment="1">
      <alignment horizontal="center"/>
    </xf>
    <xf numFmtId="0" fontId="18" fillId="34" borderId="19" xfId="0" applyNumberFormat="1" applyFont="1" applyFill="1" applyBorder="1" applyAlignment="1">
      <alignment horizontal="center"/>
    </xf>
    <xf numFmtId="0" fontId="0" fillId="34" borderId="20" xfId="0" applyFont="1" applyFill="1" applyBorder="1" applyAlignment="1">
      <alignment/>
    </xf>
    <xf numFmtId="0" fontId="5" fillId="34" borderId="10" xfId="0" applyFont="1" applyFill="1" applyBorder="1" applyAlignment="1">
      <alignment horizontal="center"/>
    </xf>
    <xf numFmtId="0" fontId="5" fillId="34" borderId="10" xfId="0" applyNumberFormat="1" applyFont="1" applyFill="1" applyBorder="1" applyAlignment="1">
      <alignment horizontal="center"/>
    </xf>
    <xf numFmtId="0" fontId="18" fillId="34" borderId="21" xfId="0" applyNumberFormat="1" applyFont="1" applyFill="1" applyBorder="1" applyAlignment="1">
      <alignment horizontal="center"/>
    </xf>
    <xf numFmtId="2" fontId="0" fillId="0" borderId="0" xfId="0" applyNumberFormat="1" applyFill="1" applyAlignment="1" applyProtection="1">
      <alignment horizontal="center"/>
      <protection/>
    </xf>
    <xf numFmtId="0" fontId="22" fillId="37" borderId="0" xfId="0" applyFont="1" applyFill="1" applyBorder="1" applyAlignment="1">
      <alignment/>
    </xf>
    <xf numFmtId="4" fontId="0" fillId="0" borderId="0" xfId="0" applyNumberFormat="1" applyFill="1" applyAlignment="1" applyProtection="1">
      <alignment horizontal="center"/>
      <protection/>
    </xf>
    <xf numFmtId="164" fontId="0" fillId="0" borderId="0" xfId="0" applyNumberFormat="1" applyFill="1" applyAlignment="1" applyProtection="1">
      <alignment horizontal="center"/>
      <protection/>
    </xf>
    <xf numFmtId="0" fontId="24" fillId="37" borderId="0" xfId="0" applyFont="1" applyFill="1" applyAlignment="1">
      <alignment/>
    </xf>
    <xf numFmtId="164" fontId="0" fillId="33" borderId="0" xfId="0" applyNumberFormat="1" applyFill="1" applyBorder="1" applyAlignment="1" applyProtection="1">
      <alignment horizontal="center"/>
      <protection locked="0"/>
    </xf>
    <xf numFmtId="164" fontId="0" fillId="33" borderId="0" xfId="0" applyNumberFormat="1" applyFill="1" applyAlignment="1" applyProtection="1">
      <alignment horizontal="center"/>
      <protection/>
    </xf>
    <xf numFmtId="164" fontId="0" fillId="34" borderId="0" xfId="0" applyNumberFormat="1" applyFill="1" applyBorder="1" applyAlignment="1" applyProtection="1">
      <alignment horizontal="right"/>
      <protection/>
    </xf>
    <xf numFmtId="164" fontId="0" fillId="34" borderId="0" xfId="0" applyNumberFormat="1" applyFill="1" applyAlignment="1" applyProtection="1">
      <alignment horizontal="right"/>
      <protection/>
    </xf>
    <xf numFmtId="164" fontId="0" fillId="34" borderId="0" xfId="0" applyNumberFormat="1" applyFill="1" applyAlignment="1">
      <alignment horizontal="right"/>
    </xf>
    <xf numFmtId="0" fontId="0" fillId="33" borderId="0" xfId="0" applyFill="1" applyBorder="1" applyAlignment="1" applyProtection="1">
      <alignment horizontal="center"/>
      <protection/>
    </xf>
    <xf numFmtId="0" fontId="0" fillId="0" borderId="0" xfId="0" applyBorder="1" applyAlignment="1" applyProtection="1">
      <alignment horizontal="center" vertical="center"/>
      <protection/>
    </xf>
    <xf numFmtId="0" fontId="0" fillId="33" borderId="0" xfId="0" applyFill="1" applyBorder="1" applyAlignment="1" applyProtection="1">
      <alignment horizontal="center" vertical="center"/>
      <protection/>
    </xf>
    <xf numFmtId="164" fontId="0" fillId="33" borderId="0" xfId="0" applyNumberFormat="1" applyFill="1" applyBorder="1" applyAlignment="1" applyProtection="1">
      <alignment horizontal="center"/>
      <protection/>
    </xf>
    <xf numFmtId="0" fontId="0" fillId="33" borderId="0" xfId="0" applyFill="1" applyAlignment="1" applyProtection="1">
      <alignment horizontal="center"/>
      <protection/>
    </xf>
    <xf numFmtId="0" fontId="0" fillId="33" borderId="0" xfId="0" applyFill="1" applyAlignment="1" applyProtection="1">
      <alignment horizontal="center" vertical="center"/>
      <protection/>
    </xf>
    <xf numFmtId="0" fontId="0" fillId="0" borderId="0" xfId="0" applyAlignment="1" applyProtection="1">
      <alignment horizontal="center" vertical="center"/>
      <protection/>
    </xf>
    <xf numFmtId="16" fontId="0" fillId="33" borderId="0" xfId="0" applyNumberFormat="1" applyFill="1" applyAlignment="1" applyProtection="1">
      <alignment horizontal="center"/>
      <protection/>
    </xf>
    <xf numFmtId="0" fontId="0" fillId="0" borderId="0" xfId="0" applyAlignment="1" applyProtection="1">
      <alignment horizontal="center"/>
      <protection/>
    </xf>
    <xf numFmtId="0" fontId="0" fillId="0" borderId="0" xfId="0" applyFill="1" applyAlignment="1" applyProtection="1">
      <alignment horizontal="center"/>
      <protection/>
    </xf>
    <xf numFmtId="0" fontId="0" fillId="0" borderId="0" xfId="0" applyFill="1" applyAlignment="1" applyProtection="1">
      <alignment horizontal="center" vertical="center"/>
      <protection/>
    </xf>
    <xf numFmtId="164" fontId="0" fillId="33" borderId="0" xfId="0" applyNumberFormat="1" applyFont="1" applyFill="1" applyBorder="1" applyAlignment="1" applyProtection="1">
      <alignment horizontal="center"/>
      <protection/>
    </xf>
    <xf numFmtId="164" fontId="0" fillId="33" borderId="0" xfId="0" applyNumberFormat="1" applyFont="1" applyFill="1" applyAlignment="1" applyProtection="1">
      <alignment horizontal="center"/>
      <protection/>
    </xf>
    <xf numFmtId="164" fontId="0" fillId="0" borderId="0" xfId="0" applyNumberFormat="1" applyFont="1" applyAlignment="1" applyProtection="1">
      <alignment horizontal="center"/>
      <protection/>
    </xf>
    <xf numFmtId="164" fontId="0" fillId="0" borderId="0" xfId="0" applyNumberFormat="1" applyFont="1" applyFill="1" applyAlignment="1" applyProtection="1">
      <alignment horizontal="center"/>
      <protection/>
    </xf>
    <xf numFmtId="0" fontId="0" fillId="34" borderId="0" xfId="0" applyFill="1" applyAlignment="1">
      <alignment horizontal="center"/>
    </xf>
    <xf numFmtId="1" fontId="0" fillId="37" borderId="0" xfId="0" applyNumberFormat="1" applyFill="1" applyAlignment="1">
      <alignment/>
    </xf>
    <xf numFmtId="1" fontId="0" fillId="33" borderId="0" xfId="0" applyNumberFormat="1" applyFont="1" applyFill="1" applyAlignment="1">
      <alignment horizontal="left"/>
    </xf>
    <xf numFmtId="0" fontId="0" fillId="36" borderId="10" xfId="0" applyFont="1" applyFill="1" applyBorder="1" applyAlignment="1">
      <alignment/>
    </xf>
    <xf numFmtId="0" fontId="0" fillId="34" borderId="10" xfId="0" applyFont="1" applyFill="1" applyBorder="1" applyAlignment="1">
      <alignment/>
    </xf>
    <xf numFmtId="0" fontId="0" fillId="0" borderId="0" xfId="0" applyFont="1" applyAlignment="1" applyProtection="1">
      <alignment/>
      <protection locked="0"/>
    </xf>
    <xf numFmtId="0" fontId="0" fillId="37" borderId="0" xfId="0" applyFont="1" applyFill="1" applyBorder="1" applyAlignment="1">
      <alignment/>
    </xf>
    <xf numFmtId="4" fontId="5" fillId="34" borderId="15" xfId="0" applyNumberFormat="1" applyFont="1" applyFill="1" applyBorder="1" applyAlignment="1">
      <alignment horizontal="center"/>
    </xf>
    <xf numFmtId="0" fontId="0" fillId="33" borderId="0" xfId="0" applyFont="1" applyFill="1" applyAlignment="1">
      <alignment/>
    </xf>
    <xf numFmtId="0" fontId="0" fillId="0" borderId="0" xfId="0" applyFont="1" applyAlignment="1" applyProtection="1">
      <alignment/>
      <protection locked="0"/>
    </xf>
    <xf numFmtId="0" fontId="26" fillId="37" borderId="0" xfId="0" applyFont="1" applyFill="1" applyAlignment="1">
      <alignment/>
    </xf>
    <xf numFmtId="0" fontId="26" fillId="37" borderId="0" xfId="0" applyFont="1" applyFill="1" applyBorder="1" applyAlignment="1">
      <alignment/>
    </xf>
    <xf numFmtId="0" fontId="26" fillId="0" borderId="0" xfId="0" applyFont="1" applyAlignment="1">
      <alignment/>
    </xf>
    <xf numFmtId="0" fontId="27" fillId="37" borderId="0" xfId="0" applyFont="1" applyFill="1" applyBorder="1" applyAlignment="1">
      <alignment vertical="center"/>
    </xf>
    <xf numFmtId="0" fontId="26" fillId="38" borderId="0" xfId="0" applyFont="1" applyFill="1" applyBorder="1" applyAlignment="1">
      <alignment/>
    </xf>
    <xf numFmtId="0" fontId="26" fillId="38" borderId="0" xfId="0" applyFont="1" applyFill="1" applyBorder="1" applyAlignment="1">
      <alignment/>
    </xf>
    <xf numFmtId="0" fontId="27" fillId="38" borderId="0" xfId="0" applyFont="1" applyFill="1" applyBorder="1" applyAlignment="1">
      <alignment/>
    </xf>
    <xf numFmtId="0" fontId="27" fillId="37" borderId="0" xfId="0" applyFont="1" applyFill="1" applyAlignment="1">
      <alignment/>
    </xf>
    <xf numFmtId="0" fontId="27" fillId="38" borderId="0" xfId="0" applyFont="1" applyFill="1" applyAlignment="1">
      <alignment/>
    </xf>
    <xf numFmtId="0" fontId="26" fillId="37" borderId="0" xfId="0" applyFont="1" applyFill="1" applyAlignment="1">
      <alignment/>
    </xf>
    <xf numFmtId="0" fontId="26" fillId="38" borderId="0" xfId="0" applyFont="1" applyFill="1" applyAlignment="1">
      <alignment/>
    </xf>
    <xf numFmtId="0" fontId="28" fillId="38" borderId="0" xfId="53" applyFont="1" applyFill="1" applyAlignment="1" applyProtection="1">
      <alignment/>
      <protection/>
    </xf>
    <xf numFmtId="0" fontId="28" fillId="38" borderId="0" xfId="0" applyFont="1" applyFill="1" applyAlignment="1">
      <alignment/>
    </xf>
    <xf numFmtId="170" fontId="0" fillId="38" borderId="0" xfId="0" applyNumberFormat="1" applyFont="1" applyFill="1" applyAlignment="1">
      <alignment horizontal="center"/>
    </xf>
    <xf numFmtId="170" fontId="0" fillId="38" borderId="0" xfId="0" applyNumberFormat="1" applyFill="1" applyAlignment="1">
      <alignment horizontal="center"/>
    </xf>
    <xf numFmtId="0" fontId="6" fillId="38" borderId="0" xfId="53" applyFill="1" applyAlignment="1" applyProtection="1">
      <alignment/>
      <protection/>
    </xf>
    <xf numFmtId="170" fontId="0" fillId="38" borderId="0" xfId="0" applyNumberFormat="1" applyFont="1" applyFill="1" applyAlignment="1" applyProtection="1">
      <alignment horizontal="center"/>
      <protection/>
    </xf>
    <xf numFmtId="164" fontId="0" fillId="38" borderId="0" xfId="0" applyNumberFormat="1" applyFill="1" applyAlignment="1">
      <alignment horizontal="center"/>
    </xf>
    <xf numFmtId="170" fontId="5" fillId="38" borderId="0" xfId="0" applyNumberFormat="1" applyFont="1" applyFill="1" applyAlignment="1">
      <alignment horizontal="center"/>
    </xf>
    <xf numFmtId="170" fontId="0" fillId="38" borderId="0" xfId="0" applyNumberFormat="1" applyFill="1" applyAlignment="1" applyProtection="1">
      <alignment horizontal="center"/>
      <protection/>
    </xf>
    <xf numFmtId="0" fontId="1" fillId="37" borderId="0" xfId="0" applyFont="1" applyFill="1" applyBorder="1" applyAlignment="1">
      <alignment horizontal="left"/>
    </xf>
    <xf numFmtId="0" fontId="1" fillId="37" borderId="0" xfId="0" applyFont="1" applyFill="1" applyBorder="1" applyAlignment="1">
      <alignment horizontal="center"/>
    </xf>
    <xf numFmtId="1" fontId="1" fillId="37" borderId="0" xfId="0" applyNumberFormat="1" applyFont="1" applyFill="1" applyBorder="1" applyAlignment="1">
      <alignment horizontal="center"/>
    </xf>
    <xf numFmtId="44" fontId="1" fillId="37" borderId="0" xfId="0" applyNumberFormat="1" applyFont="1" applyFill="1" applyBorder="1" applyAlignment="1">
      <alignment/>
    </xf>
    <xf numFmtId="44" fontId="11" fillId="37" borderId="0" xfId="0" applyNumberFormat="1" applyFont="1" applyFill="1" applyBorder="1" applyAlignment="1">
      <alignment/>
    </xf>
    <xf numFmtId="0" fontId="11" fillId="37" borderId="0" xfId="0" applyFont="1" applyFill="1" applyBorder="1" applyAlignment="1">
      <alignment horizontal="left" vertical="center"/>
    </xf>
    <xf numFmtId="0" fontId="5" fillId="37" borderId="22" xfId="0" applyFont="1" applyFill="1" applyBorder="1" applyAlignment="1">
      <alignment/>
    </xf>
    <xf numFmtId="0" fontId="5" fillId="37" borderId="11" xfId="0" applyFont="1" applyFill="1" applyBorder="1" applyAlignment="1">
      <alignment/>
    </xf>
    <xf numFmtId="0" fontId="5" fillId="37" borderId="11" xfId="0" applyFont="1" applyFill="1" applyBorder="1" applyAlignment="1">
      <alignment horizontal="center"/>
    </xf>
    <xf numFmtId="1" fontId="5" fillId="37" borderId="11" xfId="0" applyNumberFormat="1" applyFont="1" applyFill="1" applyBorder="1" applyAlignment="1">
      <alignment horizontal="center"/>
    </xf>
    <xf numFmtId="44" fontId="5" fillId="37" borderId="11" xfId="0" applyNumberFormat="1" applyFont="1" applyFill="1" applyBorder="1" applyAlignment="1">
      <alignment/>
    </xf>
    <xf numFmtId="44" fontId="5" fillId="37" borderId="23" xfId="0" applyNumberFormat="1" applyFont="1" applyFill="1" applyBorder="1" applyAlignment="1">
      <alignment/>
    </xf>
    <xf numFmtId="0" fontId="5" fillId="39" borderId="22" xfId="0" applyFont="1" applyFill="1" applyBorder="1" applyAlignment="1">
      <alignment/>
    </xf>
    <xf numFmtId="0" fontId="5" fillId="39" borderId="11" xfId="0" applyFont="1" applyFill="1" applyBorder="1" applyAlignment="1">
      <alignment/>
    </xf>
    <xf numFmtId="0" fontId="5" fillId="39" borderId="11" xfId="0" applyFont="1" applyFill="1" applyBorder="1" applyAlignment="1">
      <alignment horizontal="center"/>
    </xf>
    <xf numFmtId="1" fontId="5" fillId="39" borderId="11" xfId="0" applyNumberFormat="1" applyFont="1" applyFill="1" applyBorder="1" applyAlignment="1">
      <alignment horizontal="center"/>
    </xf>
    <xf numFmtId="44" fontId="5" fillId="39" borderId="11" xfId="0" applyNumberFormat="1" applyFont="1" applyFill="1" applyBorder="1" applyAlignment="1">
      <alignment/>
    </xf>
    <xf numFmtId="44" fontId="5" fillId="39" borderId="23" xfId="0" applyNumberFormat="1" applyFont="1" applyFill="1" applyBorder="1" applyAlignment="1">
      <alignment/>
    </xf>
    <xf numFmtId="0" fontId="5" fillId="40" borderId="22" xfId="0" applyFont="1" applyFill="1" applyBorder="1" applyAlignment="1">
      <alignment/>
    </xf>
    <xf numFmtId="0" fontId="5" fillId="40" borderId="11" xfId="0" applyFont="1" applyFill="1" applyBorder="1" applyAlignment="1">
      <alignment/>
    </xf>
    <xf numFmtId="0" fontId="5" fillId="40" borderId="11" xfId="0" applyFont="1" applyFill="1" applyBorder="1" applyAlignment="1">
      <alignment horizontal="center"/>
    </xf>
    <xf numFmtId="1" fontId="5" fillId="40" borderId="11" xfId="0" applyNumberFormat="1" applyFont="1" applyFill="1" applyBorder="1" applyAlignment="1">
      <alignment horizontal="center"/>
    </xf>
    <xf numFmtId="44" fontId="5" fillId="40" borderId="11" xfId="0" applyNumberFormat="1" applyFont="1" applyFill="1" applyBorder="1" applyAlignment="1">
      <alignment/>
    </xf>
    <xf numFmtId="44" fontId="5" fillId="40" borderId="23" xfId="0" applyNumberFormat="1" applyFont="1" applyFill="1" applyBorder="1" applyAlignment="1">
      <alignment/>
    </xf>
    <xf numFmtId="0" fontId="5" fillId="41" borderId="22" xfId="0" applyFont="1" applyFill="1" applyBorder="1" applyAlignment="1">
      <alignment/>
    </xf>
    <xf numFmtId="0" fontId="5" fillId="41" borderId="11" xfId="0" applyFont="1" applyFill="1" applyBorder="1" applyAlignment="1">
      <alignment/>
    </xf>
    <xf numFmtId="0" fontId="5" fillId="41" borderId="11" xfId="0" applyFont="1" applyFill="1" applyBorder="1" applyAlignment="1">
      <alignment horizontal="center"/>
    </xf>
    <xf numFmtId="1" fontId="5" fillId="41" borderId="11" xfId="0" applyNumberFormat="1" applyFont="1" applyFill="1" applyBorder="1" applyAlignment="1">
      <alignment horizontal="center"/>
    </xf>
    <xf numFmtId="44" fontId="5" fillId="41" borderId="11" xfId="0" applyNumberFormat="1" applyFont="1" applyFill="1" applyBorder="1" applyAlignment="1">
      <alignment/>
    </xf>
    <xf numFmtId="44" fontId="5" fillId="41" borderId="23" xfId="0" applyNumberFormat="1" applyFont="1" applyFill="1" applyBorder="1" applyAlignment="1">
      <alignment/>
    </xf>
    <xf numFmtId="0" fontId="5" fillId="42" borderId="22" xfId="0" applyFont="1" applyFill="1" applyBorder="1" applyAlignment="1">
      <alignment/>
    </xf>
    <xf numFmtId="0" fontId="5" fillId="42" borderId="11" xfId="0" applyFont="1" applyFill="1" applyBorder="1" applyAlignment="1">
      <alignment/>
    </xf>
    <xf numFmtId="0" fontId="5" fillId="42" borderId="11" xfId="0" applyFont="1" applyFill="1" applyBorder="1" applyAlignment="1">
      <alignment horizontal="center"/>
    </xf>
    <xf numFmtId="1" fontId="5" fillId="42" borderId="11" xfId="0" applyNumberFormat="1" applyFont="1" applyFill="1" applyBorder="1" applyAlignment="1">
      <alignment/>
    </xf>
    <xf numFmtId="44" fontId="5" fillId="42" borderId="11" xfId="0" applyNumberFormat="1" applyFont="1" applyFill="1" applyBorder="1" applyAlignment="1">
      <alignment/>
    </xf>
    <xf numFmtId="1" fontId="5" fillId="42" borderId="11" xfId="0" applyNumberFormat="1" applyFont="1" applyFill="1" applyBorder="1" applyAlignment="1">
      <alignment horizontal="center"/>
    </xf>
    <xf numFmtId="44" fontId="5" fillId="42" borderId="23" xfId="0" applyNumberFormat="1" applyFont="1" applyFill="1" applyBorder="1" applyAlignment="1">
      <alignment/>
    </xf>
    <xf numFmtId="0" fontId="0" fillId="40" borderId="0" xfId="0" applyFill="1" applyAlignment="1">
      <alignment horizontal="center"/>
    </xf>
    <xf numFmtId="164" fontId="0" fillId="40" borderId="0" xfId="0" applyNumberFormat="1" applyFill="1" applyAlignment="1">
      <alignment horizontal="center"/>
    </xf>
    <xf numFmtId="0" fontId="0" fillId="40" borderId="0" xfId="0" applyFill="1" applyAlignment="1">
      <alignment/>
    </xf>
    <xf numFmtId="9" fontId="0" fillId="40" borderId="0" xfId="0" applyNumberFormat="1" applyFill="1" applyAlignment="1">
      <alignment/>
    </xf>
    <xf numFmtId="2" fontId="0" fillId="37" borderId="0" xfId="0" applyNumberFormat="1" applyFill="1" applyAlignment="1">
      <alignment vertical="center"/>
    </xf>
    <xf numFmtId="0" fontId="0" fillId="37" borderId="0" xfId="0" applyFill="1" applyAlignment="1">
      <alignment vertical="center"/>
    </xf>
    <xf numFmtId="0" fontId="11" fillId="37" borderId="10" xfId="0" applyFont="1" applyFill="1" applyBorder="1" applyAlignment="1">
      <alignment horizontal="left" vertical="center"/>
    </xf>
    <xf numFmtId="0" fontId="5" fillId="38" borderId="24" xfId="0" applyFont="1" applyFill="1" applyBorder="1" applyAlignment="1">
      <alignment/>
    </xf>
    <xf numFmtId="0" fontId="5" fillId="38" borderId="12" xfId="0" applyFont="1" applyFill="1" applyBorder="1" applyAlignment="1">
      <alignment horizontal="center"/>
    </xf>
    <xf numFmtId="164" fontId="5" fillId="38" borderId="12" xfId="0" applyNumberFormat="1" applyFont="1" applyFill="1" applyBorder="1" applyAlignment="1">
      <alignment horizontal="center"/>
    </xf>
    <xf numFmtId="164" fontId="18" fillId="38" borderId="25" xfId="0" applyNumberFormat="1" applyFont="1" applyFill="1" applyBorder="1" applyAlignment="1">
      <alignment horizontal="center"/>
    </xf>
    <xf numFmtId="0" fontId="0" fillId="38" borderId="18" xfId="0" applyFont="1" applyFill="1" applyBorder="1" applyAlignment="1">
      <alignment/>
    </xf>
    <xf numFmtId="0" fontId="0" fillId="38" borderId="0" xfId="0" applyFont="1" applyFill="1" applyBorder="1" applyAlignment="1">
      <alignment horizontal="center"/>
    </xf>
    <xf numFmtId="164" fontId="0" fillId="38" borderId="0" xfId="0" applyNumberFormat="1" applyFont="1" applyFill="1" applyBorder="1" applyAlignment="1">
      <alignment horizontal="center"/>
    </xf>
    <xf numFmtId="164" fontId="19" fillId="38" borderId="19" xfId="0" applyNumberFormat="1" applyFont="1" applyFill="1" applyBorder="1" applyAlignment="1">
      <alignment horizontal="center"/>
    </xf>
    <xf numFmtId="0" fontId="0" fillId="38" borderId="19" xfId="0" applyFill="1" applyBorder="1" applyAlignment="1">
      <alignment/>
    </xf>
    <xf numFmtId="0" fontId="5" fillId="38" borderId="18" xfId="0" applyFont="1" applyFill="1" applyBorder="1" applyAlignment="1">
      <alignment/>
    </xf>
    <xf numFmtId="0" fontId="10" fillId="38" borderId="0" xfId="0" applyFont="1" applyFill="1" applyBorder="1" applyAlignment="1">
      <alignment horizontal="center"/>
    </xf>
    <xf numFmtId="164" fontId="0" fillId="38" borderId="19" xfId="0" applyNumberFormat="1" applyFont="1" applyFill="1" applyBorder="1" applyAlignment="1">
      <alignment horizontal="center"/>
    </xf>
    <xf numFmtId="0" fontId="0" fillId="38" borderId="18" xfId="0" applyFill="1" applyBorder="1" applyAlignment="1">
      <alignment/>
    </xf>
    <xf numFmtId="0" fontId="0" fillId="38" borderId="0" xfId="0" applyFill="1" applyBorder="1" applyAlignment="1">
      <alignment horizontal="center"/>
    </xf>
    <xf numFmtId="0" fontId="0" fillId="38" borderId="0" xfId="0" applyFont="1" applyFill="1" applyBorder="1" applyAlignment="1">
      <alignment/>
    </xf>
    <xf numFmtId="164" fontId="19" fillId="38" borderId="19" xfId="0" applyNumberFormat="1" applyFont="1" applyFill="1" applyBorder="1" applyAlignment="1">
      <alignment horizontal="center"/>
    </xf>
    <xf numFmtId="0" fontId="0" fillId="38" borderId="18" xfId="0" applyFont="1" applyFill="1" applyBorder="1" applyAlignment="1">
      <alignment/>
    </xf>
    <xf numFmtId="0" fontId="0" fillId="38" borderId="0" xfId="0" applyFont="1" applyFill="1" applyBorder="1" applyAlignment="1">
      <alignment horizontal="center"/>
    </xf>
    <xf numFmtId="0" fontId="5" fillId="38" borderId="18" xfId="0" applyFont="1" applyFill="1" applyBorder="1" applyAlignment="1">
      <alignment/>
    </xf>
    <xf numFmtId="0" fontId="0" fillId="38" borderId="18" xfId="0" applyFont="1" applyFill="1" applyBorder="1" applyAlignment="1">
      <alignment/>
    </xf>
    <xf numFmtId="8" fontId="0" fillId="38" borderId="0" xfId="0" applyNumberFormat="1" applyFont="1" applyFill="1" applyBorder="1" applyAlignment="1">
      <alignment horizontal="center"/>
    </xf>
    <xf numFmtId="0" fontId="0" fillId="38" borderId="0" xfId="0" applyFill="1" applyBorder="1" applyAlignment="1">
      <alignment/>
    </xf>
    <xf numFmtId="0" fontId="0" fillId="38" borderId="0" xfId="0" applyFont="1" applyFill="1" applyBorder="1" applyAlignment="1">
      <alignment horizontal="center"/>
    </xf>
    <xf numFmtId="10" fontId="0" fillId="38" borderId="0" xfId="0" applyNumberFormat="1" applyFont="1" applyFill="1" applyBorder="1" applyAlignment="1">
      <alignment horizontal="center"/>
    </xf>
    <xf numFmtId="0" fontId="0" fillId="38" borderId="20" xfId="0" applyFont="1" applyFill="1" applyBorder="1" applyAlignment="1">
      <alignment/>
    </xf>
    <xf numFmtId="0" fontId="0" fillId="38" borderId="10" xfId="0" applyFont="1" applyFill="1" applyBorder="1" applyAlignment="1">
      <alignment/>
    </xf>
    <xf numFmtId="10" fontId="0" fillId="38" borderId="10" xfId="0" applyNumberFormat="1" applyFont="1" applyFill="1" applyBorder="1" applyAlignment="1">
      <alignment horizontal="center"/>
    </xf>
    <xf numFmtId="164" fontId="0" fillId="38" borderId="21" xfId="0" applyNumberFormat="1" applyFont="1" applyFill="1" applyBorder="1" applyAlignment="1">
      <alignment horizontal="center"/>
    </xf>
    <xf numFmtId="164" fontId="0" fillId="40" borderId="0" xfId="0" applyNumberFormat="1" applyFont="1" applyFill="1" applyBorder="1" applyAlignment="1">
      <alignment horizontal="center"/>
    </xf>
    <xf numFmtId="10" fontId="0" fillId="40" borderId="0" xfId="0" applyNumberFormat="1" applyFont="1" applyFill="1" applyBorder="1" applyAlignment="1">
      <alignment horizontal="center"/>
    </xf>
    <xf numFmtId="0" fontId="11" fillId="37" borderId="0" xfId="0" applyFont="1" applyFill="1" applyBorder="1" applyAlignment="1">
      <alignment/>
    </xf>
    <xf numFmtId="0" fontId="11" fillId="37" borderId="0" xfId="0" applyFont="1" applyFill="1" applyBorder="1" applyAlignment="1">
      <alignment horizontal="center"/>
    </xf>
    <xf numFmtId="0" fontId="11" fillId="37" borderId="0" xfId="0" applyFont="1" applyFill="1" applyBorder="1" applyAlignment="1">
      <alignment horizontal="center" vertical="center"/>
    </xf>
    <xf numFmtId="0" fontId="0" fillId="37" borderId="10" xfId="0" applyFill="1" applyBorder="1" applyAlignment="1">
      <alignment/>
    </xf>
    <xf numFmtId="0" fontId="0" fillId="37" borderId="10" xfId="0" applyFill="1" applyBorder="1" applyAlignment="1">
      <alignment horizontal="center"/>
    </xf>
    <xf numFmtId="0" fontId="0" fillId="37" borderId="10" xfId="0" applyFill="1" applyBorder="1" applyAlignment="1">
      <alignment horizontal="center" vertical="center"/>
    </xf>
    <xf numFmtId="0" fontId="0" fillId="40" borderId="0" xfId="0" applyFill="1" applyAlignment="1" applyProtection="1">
      <alignment horizontal="center"/>
      <protection locked="0"/>
    </xf>
    <xf numFmtId="164" fontId="0" fillId="41" borderId="0" xfId="0" applyNumberFormat="1" applyFill="1" applyAlignment="1" applyProtection="1">
      <alignment horizontal="center"/>
      <protection locked="0"/>
    </xf>
    <xf numFmtId="164" fontId="0" fillId="41" borderId="0" xfId="0" applyNumberFormat="1" applyFill="1" applyAlignment="1" applyProtection="1">
      <alignment horizontal="center"/>
      <protection/>
    </xf>
    <xf numFmtId="2" fontId="0" fillId="42" borderId="0" xfId="0" applyNumberFormat="1" applyFill="1" applyAlignment="1" applyProtection="1">
      <alignment horizontal="center"/>
      <protection/>
    </xf>
    <xf numFmtId="164" fontId="0" fillId="42" borderId="0" xfId="0" applyNumberFormat="1" applyFill="1" applyAlignment="1" applyProtection="1">
      <alignment horizontal="center"/>
      <protection/>
    </xf>
    <xf numFmtId="164" fontId="0" fillId="42" borderId="0" xfId="0" applyNumberFormat="1" applyFill="1" applyAlignment="1" applyProtection="1">
      <alignment/>
      <protection/>
    </xf>
    <xf numFmtId="164" fontId="0" fillId="41" borderId="0" xfId="0" applyNumberFormat="1" applyFill="1" applyAlignment="1" applyProtection="1">
      <alignment/>
      <protection/>
    </xf>
    <xf numFmtId="0" fontId="6" fillId="37" borderId="0" xfId="53" applyFont="1" applyFill="1" applyAlignment="1" applyProtection="1">
      <alignment/>
      <protection/>
    </xf>
    <xf numFmtId="0" fontId="11" fillId="37" borderId="10" xfId="0" applyFont="1" applyFill="1" applyBorder="1" applyAlignment="1">
      <alignment/>
    </xf>
    <xf numFmtId="0" fontId="5" fillId="37" borderId="10" xfId="0" applyFont="1" applyFill="1" applyBorder="1" applyAlignment="1">
      <alignment/>
    </xf>
    <xf numFmtId="0" fontId="5" fillId="37" borderId="0" xfId="0" applyFont="1" applyFill="1" applyBorder="1" applyAlignment="1">
      <alignment/>
    </xf>
    <xf numFmtId="0" fontId="1" fillId="38" borderId="0" xfId="0" applyFont="1" applyFill="1" applyAlignment="1">
      <alignment/>
    </xf>
    <xf numFmtId="0" fontId="0" fillId="40" borderId="0" xfId="0" applyFill="1" applyBorder="1" applyAlignment="1" applyProtection="1">
      <alignment horizontal="center"/>
      <protection locked="0"/>
    </xf>
    <xf numFmtId="164" fontId="0" fillId="41" borderId="0" xfId="0" applyNumberFormat="1" applyFill="1" applyBorder="1" applyAlignment="1" applyProtection="1">
      <alignment horizontal="center"/>
      <protection/>
    </xf>
    <xf numFmtId="2" fontId="0" fillId="42" borderId="0" xfId="0" applyNumberFormat="1" applyFill="1" applyBorder="1" applyAlignment="1" applyProtection="1">
      <alignment horizontal="center"/>
      <protection/>
    </xf>
    <xf numFmtId="164" fontId="0" fillId="42" borderId="0" xfId="0" applyNumberFormat="1" applyFill="1" applyBorder="1" applyAlignment="1" applyProtection="1">
      <alignment horizontal="center"/>
      <protection/>
    </xf>
    <xf numFmtId="164" fontId="0" fillId="40" borderId="0" xfId="0" applyNumberFormat="1" applyFill="1" applyBorder="1" applyAlignment="1" applyProtection="1">
      <alignment horizontal="center"/>
      <protection/>
    </xf>
    <xf numFmtId="164" fontId="0" fillId="42" borderId="0" xfId="0" applyNumberFormat="1" applyFill="1" applyBorder="1" applyAlignment="1" applyProtection="1">
      <alignment horizontal="right"/>
      <protection/>
    </xf>
    <xf numFmtId="164" fontId="0" fillId="41" borderId="0" xfId="0" applyNumberFormat="1" applyFill="1" applyAlignment="1" applyProtection="1">
      <alignment horizontal="right"/>
      <protection/>
    </xf>
    <xf numFmtId="10" fontId="0" fillId="39" borderId="0" xfId="0" applyNumberFormat="1" applyFill="1" applyBorder="1" applyAlignment="1" applyProtection="1">
      <alignment horizontal="center"/>
      <protection/>
    </xf>
    <xf numFmtId="164" fontId="0" fillId="41" borderId="0" xfId="0" applyNumberFormat="1" applyFill="1" applyBorder="1" applyAlignment="1" applyProtection="1">
      <alignment horizontal="right"/>
      <protection/>
    </xf>
    <xf numFmtId="0" fontId="11" fillId="37" borderId="0" xfId="0" applyFont="1" applyFill="1" applyAlignment="1" applyProtection="1">
      <alignment/>
      <protection locked="0"/>
    </xf>
    <xf numFmtId="0" fontId="1" fillId="37" borderId="0" xfId="0" applyFont="1" applyFill="1" applyAlignment="1" applyProtection="1">
      <alignment wrapText="1"/>
      <protection locked="0"/>
    </xf>
    <xf numFmtId="0" fontId="1" fillId="37" borderId="0" xfId="0" applyFont="1" applyFill="1" applyAlignment="1" applyProtection="1">
      <alignment horizontal="center" wrapText="1"/>
      <protection locked="0"/>
    </xf>
    <xf numFmtId="0" fontId="0" fillId="39" borderId="0" xfId="0" applyFill="1" applyBorder="1" applyAlignment="1" applyProtection="1">
      <alignment horizontal="center"/>
      <protection/>
    </xf>
    <xf numFmtId="0" fontId="0" fillId="33" borderId="0" xfId="0" applyFill="1" applyBorder="1" applyAlignment="1" applyProtection="1">
      <alignment/>
      <protection/>
    </xf>
    <xf numFmtId="164" fontId="0" fillId="39" borderId="0" xfId="0" applyNumberFormat="1" applyFill="1" applyBorder="1" applyAlignment="1" applyProtection="1">
      <alignment horizontal="center"/>
      <protection/>
    </xf>
    <xf numFmtId="0" fontId="0" fillId="40" borderId="0" xfId="0" applyFill="1" applyBorder="1" applyAlignment="1" applyProtection="1">
      <alignment horizontal="center"/>
      <protection/>
    </xf>
    <xf numFmtId="164" fontId="0" fillId="39" borderId="0" xfId="0" applyNumberFormat="1" applyFont="1" applyFill="1" applyBorder="1" applyAlignment="1" applyProtection="1">
      <alignment horizontal="center"/>
      <protection/>
    </xf>
    <xf numFmtId="164" fontId="0" fillId="41" borderId="0" xfId="0" applyNumberFormat="1" applyFont="1" applyFill="1" applyBorder="1" applyAlignment="1" applyProtection="1">
      <alignment horizontal="center"/>
      <protection/>
    </xf>
    <xf numFmtId="164" fontId="0" fillId="42" borderId="0" xfId="0" applyNumberFormat="1" applyFont="1" applyFill="1" applyBorder="1" applyAlignment="1" applyProtection="1">
      <alignment horizontal="center"/>
      <protection/>
    </xf>
    <xf numFmtId="164" fontId="0" fillId="40" borderId="0" xfId="0" applyNumberFormat="1" applyFont="1" applyFill="1" applyBorder="1" applyAlignment="1" applyProtection="1">
      <alignment horizontal="center"/>
      <protection/>
    </xf>
    <xf numFmtId="0" fontId="1" fillId="38" borderId="22" xfId="0" applyFont="1" applyFill="1" applyBorder="1" applyAlignment="1">
      <alignment/>
    </xf>
    <xf numFmtId="0" fontId="0" fillId="38" borderId="23" xfId="0" applyFont="1" applyFill="1" applyBorder="1" applyAlignment="1">
      <alignment/>
    </xf>
    <xf numFmtId="0" fontId="5" fillId="38" borderId="15" xfId="0" applyFont="1" applyFill="1" applyBorder="1" applyAlignment="1">
      <alignment horizontal="center" vertical="center" wrapText="1"/>
    </xf>
    <xf numFmtId="0" fontId="0" fillId="38" borderId="15" xfId="0" applyFill="1" applyBorder="1" applyAlignment="1">
      <alignment/>
    </xf>
    <xf numFmtId="164" fontId="0" fillId="38" borderId="15" xfId="0" applyNumberFormat="1" applyFill="1" applyBorder="1" applyAlignment="1">
      <alignment horizontal="center"/>
    </xf>
    <xf numFmtId="4" fontId="0" fillId="38" borderId="15" xfId="0" applyNumberFormat="1" applyFont="1" applyFill="1" applyBorder="1" applyAlignment="1">
      <alignment horizontal="center"/>
    </xf>
    <xf numFmtId="164" fontId="0" fillId="38" borderId="15" xfId="0" applyNumberFormat="1" applyFont="1" applyFill="1" applyBorder="1" applyAlignment="1">
      <alignment horizontal="center"/>
    </xf>
    <xf numFmtId="0" fontId="13" fillId="38" borderId="15" xfId="0" applyFont="1" applyFill="1" applyBorder="1" applyAlignment="1">
      <alignment/>
    </xf>
    <xf numFmtId="0" fontId="5" fillId="38" borderId="15" xfId="0" applyFont="1" applyFill="1" applyBorder="1" applyAlignment="1">
      <alignment horizontal="center" wrapText="1"/>
    </xf>
    <xf numFmtId="2" fontId="0" fillId="38" borderId="15" xfId="0" applyNumberFormat="1" applyFont="1" applyFill="1" applyBorder="1" applyAlignment="1">
      <alignment horizontal="center"/>
    </xf>
    <xf numFmtId="4" fontId="0" fillId="38" borderId="15" xfId="0" applyNumberFormat="1" applyFill="1" applyBorder="1" applyAlignment="1">
      <alignment horizontal="center"/>
    </xf>
    <xf numFmtId="0" fontId="12" fillId="38" borderId="22" xfId="0" applyFont="1" applyFill="1" applyBorder="1" applyAlignment="1">
      <alignment/>
    </xf>
    <xf numFmtId="0" fontId="12" fillId="38" borderId="11" xfId="0" applyFont="1" applyFill="1" applyBorder="1" applyAlignment="1">
      <alignment/>
    </xf>
    <xf numFmtId="164" fontId="12" fillId="38" borderId="11" xfId="0" applyNumberFormat="1" applyFont="1" applyFill="1" applyBorder="1" applyAlignment="1">
      <alignment horizontal="center"/>
    </xf>
    <xf numFmtId="4" fontId="12" fillId="38" borderId="11" xfId="0" applyNumberFormat="1" applyFont="1" applyFill="1" applyBorder="1" applyAlignment="1">
      <alignment horizontal="center"/>
    </xf>
    <xf numFmtId="164" fontId="12" fillId="38" borderId="23" xfId="0" applyNumberFormat="1" applyFont="1" applyFill="1" applyBorder="1" applyAlignment="1">
      <alignment horizontal="center"/>
    </xf>
    <xf numFmtId="0" fontId="14" fillId="38" borderId="15" xfId="0" applyFont="1" applyFill="1" applyBorder="1" applyAlignment="1">
      <alignment horizontal="center"/>
    </xf>
    <xf numFmtId="0" fontId="13" fillId="38" borderId="15" xfId="0" applyFont="1" applyFill="1" applyBorder="1" applyAlignment="1">
      <alignment horizontal="center"/>
    </xf>
    <xf numFmtId="0" fontId="15" fillId="38" borderId="15" xfId="0" applyFont="1" applyFill="1" applyBorder="1" applyAlignment="1">
      <alignment/>
    </xf>
    <xf numFmtId="0" fontId="0" fillId="38" borderId="15" xfId="0" applyFill="1" applyBorder="1" applyAlignment="1">
      <alignment horizontal="center"/>
    </xf>
    <xf numFmtId="3" fontId="13" fillId="38" borderId="15" xfId="0" applyNumberFormat="1" applyFont="1" applyFill="1" applyBorder="1" applyAlignment="1">
      <alignment horizontal="center"/>
    </xf>
    <xf numFmtId="0" fontId="15" fillId="38" borderId="15" xfId="0" applyFont="1" applyFill="1" applyBorder="1" applyAlignment="1">
      <alignment/>
    </xf>
    <xf numFmtId="0" fontId="0" fillId="37" borderId="0" xfId="0" applyFont="1" applyFill="1" applyBorder="1" applyAlignment="1">
      <alignment vertical="center"/>
    </xf>
    <xf numFmtId="0" fontId="22" fillId="37" borderId="0" xfId="0" applyFont="1" applyFill="1" applyBorder="1" applyAlignment="1">
      <alignment vertical="center"/>
    </xf>
    <xf numFmtId="0" fontId="0" fillId="0" borderId="0" xfId="0" applyAlignment="1">
      <alignment vertical="center"/>
    </xf>
    <xf numFmtId="0" fontId="0" fillId="37" borderId="0" xfId="0" applyFill="1" applyAlignment="1">
      <alignment horizontal="center"/>
    </xf>
    <xf numFmtId="0" fontId="0" fillId="0" borderId="0" xfId="0" applyAlignment="1">
      <alignment horizontal="center"/>
    </xf>
    <xf numFmtId="0" fontId="3" fillId="0" borderId="0" xfId="53" applyFont="1" applyAlignment="1" applyProtection="1">
      <alignment horizontal="center"/>
      <protection/>
    </xf>
    <xf numFmtId="0" fontId="0" fillId="0" borderId="0" xfId="0" applyFont="1" applyAlignment="1">
      <alignment horizontal="center"/>
    </xf>
    <xf numFmtId="0" fontId="26" fillId="38" borderId="0" xfId="0" applyFont="1" applyFill="1" applyBorder="1" applyAlignment="1">
      <alignment wrapText="1"/>
    </xf>
    <xf numFmtId="0" fontId="26" fillId="38" borderId="0" xfId="0" applyFont="1" applyFill="1" applyBorder="1" applyAlignment="1">
      <alignment/>
    </xf>
    <xf numFmtId="0" fontId="26" fillId="38" borderId="0" xfId="0" applyFont="1" applyFill="1" applyBorder="1" applyAlignment="1">
      <alignment horizontal="center"/>
    </xf>
    <xf numFmtId="0" fontId="11" fillId="37" borderId="0" xfId="0" applyFont="1" applyFill="1" applyBorder="1" applyAlignment="1">
      <alignment horizontal="left" vertical="center"/>
    </xf>
    <xf numFmtId="0" fontId="5" fillId="37" borderId="22" xfId="0" applyFont="1" applyFill="1" applyBorder="1" applyAlignment="1">
      <alignment/>
    </xf>
    <xf numFmtId="0" fontId="5" fillId="0" borderId="11" xfId="0" applyFont="1" applyBorder="1" applyAlignment="1">
      <alignment/>
    </xf>
    <xf numFmtId="0" fontId="5" fillId="0" borderId="23" xfId="0" applyFont="1" applyBorder="1" applyAlignment="1">
      <alignment/>
    </xf>
    <xf numFmtId="0" fontId="5" fillId="39" borderId="22" xfId="0" applyFont="1" applyFill="1" applyBorder="1" applyAlignment="1">
      <alignment/>
    </xf>
    <xf numFmtId="0" fontId="5" fillId="39" borderId="11" xfId="0" applyFont="1" applyFill="1" applyBorder="1" applyAlignment="1">
      <alignment/>
    </xf>
    <xf numFmtId="0" fontId="5" fillId="39" borderId="23" xfId="0" applyFont="1" applyFill="1" applyBorder="1" applyAlignment="1">
      <alignment/>
    </xf>
    <xf numFmtId="0" fontId="5" fillId="40" borderId="22" xfId="0" applyFont="1" applyFill="1" applyBorder="1" applyAlignment="1">
      <alignment/>
    </xf>
    <xf numFmtId="0" fontId="5" fillId="40" borderId="11" xfId="0" applyFont="1" applyFill="1" applyBorder="1" applyAlignment="1">
      <alignment/>
    </xf>
    <xf numFmtId="0" fontId="5" fillId="40" borderId="23" xfId="0" applyFont="1" applyFill="1" applyBorder="1" applyAlignment="1">
      <alignment/>
    </xf>
    <xf numFmtId="0" fontId="5" fillId="41" borderId="22" xfId="0" applyFont="1" applyFill="1" applyBorder="1" applyAlignment="1">
      <alignment/>
    </xf>
    <xf numFmtId="0" fontId="5" fillId="41" borderId="11" xfId="0" applyFont="1" applyFill="1" applyBorder="1" applyAlignment="1">
      <alignment/>
    </xf>
    <xf numFmtId="0" fontId="5" fillId="41" borderId="23" xfId="0" applyFont="1" applyFill="1" applyBorder="1" applyAlignment="1">
      <alignment/>
    </xf>
    <xf numFmtId="0" fontId="5" fillId="42" borderId="22" xfId="0" applyFont="1" applyFill="1" applyBorder="1" applyAlignment="1">
      <alignment/>
    </xf>
    <xf numFmtId="0" fontId="5" fillId="42" borderId="11" xfId="0" applyFont="1" applyFill="1" applyBorder="1" applyAlignment="1">
      <alignment/>
    </xf>
    <xf numFmtId="0" fontId="5" fillId="42" borderId="23" xfId="0" applyFont="1" applyFill="1" applyBorder="1" applyAlignment="1">
      <alignment/>
    </xf>
    <xf numFmtId="0" fontId="0" fillId="42" borderId="11" xfId="0" applyFill="1" applyBorder="1" applyAlignment="1">
      <alignment/>
    </xf>
    <xf numFmtId="0" fontId="0" fillId="42" borderId="23" xfId="0" applyFill="1" applyBorder="1" applyAlignment="1">
      <alignment/>
    </xf>
    <xf numFmtId="0" fontId="0" fillId="0" borderId="11" xfId="0" applyBorder="1" applyAlignment="1">
      <alignment/>
    </xf>
    <xf numFmtId="0" fontId="0" fillId="0" borderId="23" xfId="0" applyBorder="1" applyAlignment="1">
      <alignment/>
    </xf>
    <xf numFmtId="0" fontId="0" fillId="39" borderId="11" xfId="0" applyFill="1" applyBorder="1" applyAlignment="1">
      <alignment/>
    </xf>
    <xf numFmtId="0" fontId="0" fillId="39" borderId="23" xfId="0" applyFill="1" applyBorder="1" applyAlignment="1">
      <alignment/>
    </xf>
    <xf numFmtId="0" fontId="0" fillId="40" borderId="11" xfId="0" applyFill="1" applyBorder="1" applyAlignment="1">
      <alignment/>
    </xf>
    <xf numFmtId="0" fontId="0" fillId="40" borderId="23" xfId="0" applyFill="1" applyBorder="1" applyAlignment="1">
      <alignment/>
    </xf>
    <xf numFmtId="0" fontId="0" fillId="41" borderId="11" xfId="0" applyFill="1" applyBorder="1" applyAlignment="1">
      <alignment/>
    </xf>
    <xf numFmtId="0" fontId="0" fillId="41" borderId="23" xfId="0" applyFill="1" applyBorder="1" applyAlignment="1">
      <alignment/>
    </xf>
    <xf numFmtId="0" fontId="22" fillId="37" borderId="0" xfId="0" applyFont="1" applyFill="1" applyAlignment="1" applyProtection="1">
      <alignment horizontal="left" vertical="top" wrapText="1"/>
      <protection locked="0"/>
    </xf>
    <xf numFmtId="0" fontId="0" fillId="0" borderId="0" xfId="0" applyAlignment="1">
      <alignment horizontal="left" vertical="top" wrapText="1"/>
    </xf>
    <xf numFmtId="0" fontId="6" fillId="37" borderId="0" xfId="53" applyFont="1" applyFill="1" applyAlignment="1" applyProtection="1">
      <alignment horizontal="left" vertical="top" wrapText="1"/>
      <protection locked="0"/>
    </xf>
    <xf numFmtId="0" fontId="0" fillId="37" borderId="0" xfId="0" applyFill="1" applyAlignment="1">
      <alignment/>
    </xf>
    <xf numFmtId="0" fontId="0" fillId="37" borderId="0" xfId="0" applyFill="1" applyAlignment="1">
      <alignment/>
    </xf>
    <xf numFmtId="0" fontId="0" fillId="37" borderId="0" xfId="0" applyFill="1" applyAlignment="1" applyProtection="1">
      <alignment horizontal="left" vertical="top" wrapText="1"/>
      <protection locked="0"/>
    </xf>
    <xf numFmtId="0" fontId="11" fillId="37" borderId="0" xfId="0" applyFont="1" applyFill="1" applyAlignment="1" applyProtection="1">
      <alignment horizontal="left" wrapText="1"/>
      <protection locked="0"/>
    </xf>
    <xf numFmtId="0" fontId="1" fillId="37" borderId="0" xfId="0" applyFont="1" applyFill="1" applyAlignment="1" applyProtection="1">
      <alignment horizontal="left" wrapText="1"/>
      <protection locked="0"/>
    </xf>
    <xf numFmtId="0" fontId="0" fillId="0" borderId="0" xfId="0" applyAlignment="1" applyProtection="1">
      <alignment horizontal="left"/>
      <protection locked="0"/>
    </xf>
    <xf numFmtId="0" fontId="0" fillId="0" borderId="0" xfId="0" applyFont="1" applyAlignment="1" applyProtection="1">
      <alignment horizontal="left"/>
      <protection locked="0"/>
    </xf>
    <xf numFmtId="0" fontId="0" fillId="37" borderId="12" xfId="0" applyFill="1" applyBorder="1" applyAlignment="1">
      <alignment/>
    </xf>
    <xf numFmtId="0" fontId="0" fillId="0" borderId="12" xfId="0" applyBorder="1" applyAlignment="1">
      <alignment/>
    </xf>
    <xf numFmtId="0" fontId="0" fillId="37" borderId="0" xfId="0" applyFill="1" applyAlignment="1" applyProtection="1">
      <alignment vertical="top" wrapText="1"/>
      <protection locked="0"/>
    </xf>
    <xf numFmtId="0" fontId="0" fillId="0" borderId="0" xfId="0" applyAlignment="1">
      <alignment vertical="top" wrapText="1"/>
    </xf>
    <xf numFmtId="0" fontId="6" fillId="37" borderId="0" xfId="53" applyFont="1" applyFill="1" applyAlignment="1" applyProtection="1">
      <alignment vertical="top" wrapText="1"/>
      <protection locked="0"/>
    </xf>
    <xf numFmtId="0" fontId="6" fillId="0" borderId="0" xfId="53" applyFont="1" applyAlignment="1" applyProtection="1">
      <alignment vertical="top" wrapText="1"/>
      <protection/>
    </xf>
    <xf numFmtId="0" fontId="11" fillId="37" borderId="0" xfId="0" applyFont="1" applyFill="1" applyAlignment="1" applyProtection="1">
      <alignment wrapText="1"/>
      <protection locked="0"/>
    </xf>
    <xf numFmtId="0" fontId="0" fillId="37" borderId="0" xfId="0" applyFill="1" applyAlignment="1">
      <alignment wrapText="1"/>
    </xf>
    <xf numFmtId="0" fontId="5" fillId="38" borderId="22" xfId="0" applyFont="1" applyFill="1" applyBorder="1" applyAlignment="1">
      <alignment horizontal="center"/>
    </xf>
    <xf numFmtId="0" fontId="5" fillId="38" borderId="11" xfId="0" applyFont="1" applyFill="1" applyBorder="1" applyAlignment="1">
      <alignment horizontal="center"/>
    </xf>
    <xf numFmtId="0" fontId="5" fillId="38" borderId="23" xfId="0" applyFont="1" applyFill="1" applyBorder="1" applyAlignment="1">
      <alignment horizontal="center"/>
    </xf>
    <xf numFmtId="0" fontId="0" fillId="38" borderId="11" xfId="0" applyFill="1" applyBorder="1" applyAlignment="1">
      <alignment horizontal="center"/>
    </xf>
    <xf numFmtId="0" fontId="0" fillId="38" borderId="23" xfId="0" applyFill="1" applyBorder="1" applyAlignment="1">
      <alignment horizontal="center"/>
    </xf>
    <xf numFmtId="0" fontId="0" fillId="37" borderId="12" xfId="0" applyFill="1" applyBorder="1" applyAlignment="1">
      <alignment wrapText="1"/>
    </xf>
    <xf numFmtId="0" fontId="0" fillId="0" borderId="0" xfId="0" applyAlignment="1">
      <alignment wrapText="1"/>
    </xf>
    <xf numFmtId="0" fontId="0" fillId="38" borderId="11" xfId="0" applyFill="1" applyBorder="1" applyAlignment="1">
      <alignment/>
    </xf>
    <xf numFmtId="0" fontId="0" fillId="38" borderId="23" xfId="0" applyFill="1" applyBorder="1" applyAlignment="1">
      <alignment/>
    </xf>
    <xf numFmtId="0" fontId="23" fillId="33" borderId="22" xfId="53" applyFont="1" applyFill="1" applyBorder="1" applyAlignment="1" applyProtection="1">
      <alignment/>
      <protection/>
    </xf>
    <xf numFmtId="0" fontId="23" fillId="33" borderId="11" xfId="53" applyFont="1" applyFill="1" applyBorder="1" applyAlignment="1" applyProtection="1">
      <alignment/>
      <protection/>
    </xf>
    <xf numFmtId="0" fontId="23" fillId="33" borderId="23" xfId="53" applyFont="1" applyFill="1" applyBorder="1" applyAlignment="1" applyProtection="1">
      <alignment/>
      <protection/>
    </xf>
    <xf numFmtId="0" fontId="11" fillId="34" borderId="22" xfId="0" applyFont="1" applyFill="1" applyBorder="1" applyAlignment="1">
      <alignment wrapText="1"/>
    </xf>
    <xf numFmtId="0" fontId="23" fillId="33" borderId="22" xfId="53" applyFont="1" applyFill="1" applyBorder="1" applyAlignment="1" applyProtection="1">
      <alignment wrapText="1"/>
      <protection/>
    </xf>
    <xf numFmtId="0" fontId="23" fillId="33" borderId="11" xfId="53" applyFont="1" applyFill="1" applyBorder="1" applyAlignment="1" applyProtection="1">
      <alignment wrapText="1"/>
      <protection/>
    </xf>
    <xf numFmtId="0" fontId="23" fillId="33" borderId="23" xfId="53" applyFont="1" applyFill="1" applyBorder="1" applyAlignment="1" applyProtection="1">
      <alignment wrapText="1"/>
      <protection/>
    </xf>
    <xf numFmtId="0" fontId="11" fillId="37" borderId="10" xfId="0" applyFont="1" applyFill="1" applyBorder="1" applyAlignment="1">
      <alignment vertical="center" wrapText="1"/>
    </xf>
    <xf numFmtId="0" fontId="0" fillId="37" borderId="10" xfId="0" applyFill="1" applyBorder="1" applyAlignment="1">
      <alignment vertical="center"/>
    </xf>
    <xf numFmtId="0" fontId="19" fillId="38" borderId="22" xfId="0" applyFont="1" applyFill="1" applyBorder="1" applyAlignment="1">
      <alignment wrapText="1"/>
    </xf>
    <xf numFmtId="0" fontId="19" fillId="38" borderId="11" xfId="0" applyFont="1" applyFill="1" applyBorder="1" applyAlignment="1">
      <alignment wrapText="1"/>
    </xf>
    <xf numFmtId="0" fontId="19" fillId="38" borderId="23" xfId="0" applyFont="1" applyFill="1" applyBorder="1" applyAlignment="1">
      <alignment wrapText="1"/>
    </xf>
    <xf numFmtId="0" fontId="5" fillId="38" borderId="22" xfId="0" applyFont="1" applyFill="1" applyBorder="1" applyAlignment="1">
      <alignment horizontal="center" wrapText="1"/>
    </xf>
    <xf numFmtId="0" fontId="5" fillId="38" borderId="11" xfId="0" applyFont="1" applyFill="1" applyBorder="1" applyAlignment="1">
      <alignment horizontal="center" wrapText="1"/>
    </xf>
    <xf numFmtId="0" fontId="5" fillId="38" borderId="23" xfId="0" applyFont="1" applyFill="1" applyBorder="1" applyAlignment="1">
      <alignment horizontal="center" wrapText="1"/>
    </xf>
    <xf numFmtId="0" fontId="11" fillId="37" borderId="10" xfId="0" applyFont="1" applyFill="1" applyBorder="1" applyAlignment="1">
      <alignment horizontal="left" vertical="center"/>
    </xf>
    <xf numFmtId="0" fontId="0" fillId="38" borderId="22" xfId="0" applyFill="1" applyBorder="1" applyAlignment="1">
      <alignment wrapText="1"/>
    </xf>
    <xf numFmtId="0" fontId="0" fillId="38" borderId="11" xfId="0" applyFont="1" applyFill="1" applyBorder="1" applyAlignment="1">
      <alignment wrapText="1"/>
    </xf>
    <xf numFmtId="0" fontId="0" fillId="38" borderId="23"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Returns over Total Costs by Rotation</a:t>
            </a:r>
          </a:p>
        </c:rich>
      </c:tx>
      <c:layout>
        <c:manualLayout>
          <c:xMode val="factor"/>
          <c:yMode val="factor"/>
          <c:x val="-0.01375"/>
          <c:y val="0"/>
        </c:manualLayout>
      </c:layout>
      <c:spPr>
        <a:noFill/>
        <a:ln>
          <a:noFill/>
        </a:ln>
      </c:spPr>
    </c:title>
    <c:plotArea>
      <c:layout>
        <c:manualLayout>
          <c:xMode val="edge"/>
          <c:yMode val="edge"/>
          <c:x val="0.092"/>
          <c:y val="0.14925"/>
          <c:w val="0.8805"/>
          <c:h val="0.73125"/>
        </c:manualLayout>
      </c:layout>
      <c:barChart>
        <c:barDir val="col"/>
        <c:grouping val="clustered"/>
        <c:varyColors val="0"/>
        <c:ser>
          <c:idx val="0"/>
          <c:order val="0"/>
          <c:tx>
            <c:strRef>
              <c:f>Summary!$B$26</c:f>
              <c:strCache>
                <c:ptCount val="1"/>
                <c:pt idx="0">
                  <c:v>WW, HRSW, CF</c:v>
                </c:pt>
              </c:strCache>
            </c:strRef>
          </c:tx>
          <c:spPr>
            <a:solidFill>
              <a:srgbClr val="FCF30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val>
            <c:numRef>
              <c:f>Summary!$H$26</c:f>
              <c:numCache>
                <c:ptCount val="1"/>
                <c:pt idx="0">
                  <c:v>34.866693833333294</c:v>
                </c:pt>
              </c:numCache>
            </c:numRef>
          </c:val>
        </c:ser>
        <c:ser>
          <c:idx val="1"/>
          <c:order val="1"/>
          <c:tx>
            <c:strRef>
              <c:f>Summary!$B$27</c:f>
              <c:strCache>
                <c:ptCount val="1"/>
                <c:pt idx="0">
                  <c:v>WW, SB, CF</c:v>
                </c:pt>
              </c:strCache>
            </c:strRef>
          </c:tx>
          <c:spPr>
            <a:solidFill>
              <a:srgbClr val="00ABE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Summary!$H$27</c:f>
              <c:numCache>
                <c:ptCount val="1"/>
                <c:pt idx="0">
                  <c:v>17.730118833333325</c:v>
                </c:pt>
              </c:numCache>
            </c:numRef>
          </c:val>
        </c:ser>
        <c:overlap val="-100"/>
        <c:gapWidth val="240"/>
        <c:axId val="9641407"/>
        <c:axId val="19663800"/>
      </c:barChart>
      <c:catAx>
        <c:axId val="9641407"/>
        <c:scaling>
          <c:orientation val="minMax"/>
        </c:scaling>
        <c:axPos val="b"/>
        <c:delete val="1"/>
        <c:majorTickMark val="out"/>
        <c:minorTickMark val="none"/>
        <c:tickLblPos val="nextTo"/>
        <c:crossAx val="19663800"/>
        <c:crossesAt val="0"/>
        <c:auto val="1"/>
        <c:lblOffset val="100"/>
        <c:tickLblSkip val="1"/>
        <c:noMultiLvlLbl val="0"/>
      </c:catAx>
      <c:valAx>
        <c:axId val="19663800"/>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$/acre/year</a:t>
                </a:r>
              </a:p>
            </c:rich>
          </c:tx>
          <c:layout>
            <c:manualLayout>
              <c:xMode val="factor"/>
              <c:yMode val="factor"/>
              <c:x val="-0.00325"/>
              <c:y val="-0.00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641407"/>
        <c:crossesAt val="1"/>
        <c:crossBetween val="between"/>
        <c:dispUnits/>
        <c:majorUnit val="10"/>
        <c:minorUnit val="2"/>
      </c:valAx>
      <c:spPr>
        <a:solidFill>
          <a:srgbClr val="FFFFFF"/>
        </a:solidFill>
        <a:ln w="12700">
          <a:solidFill>
            <a:srgbClr val="000000"/>
          </a:solidFill>
        </a:ln>
      </c:spPr>
    </c:plotArea>
    <c:legend>
      <c:legendPos val="r"/>
      <c:layout>
        <c:manualLayout>
          <c:xMode val="edge"/>
          <c:yMode val="edge"/>
          <c:x val="0.35825"/>
          <c:y val="0.915"/>
          <c:w val="0.529"/>
          <c:h val="0.0722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Returns over Total Costs by Crop</a:t>
            </a:r>
          </a:p>
        </c:rich>
      </c:tx>
      <c:layout>
        <c:manualLayout>
          <c:xMode val="factor"/>
          <c:yMode val="factor"/>
          <c:x val="-0.01925"/>
          <c:y val="0"/>
        </c:manualLayout>
      </c:layout>
      <c:spPr>
        <a:noFill/>
        <a:ln>
          <a:noFill/>
        </a:ln>
      </c:spPr>
    </c:title>
    <c:plotArea>
      <c:layout>
        <c:manualLayout>
          <c:xMode val="edge"/>
          <c:yMode val="edge"/>
          <c:x val="0.07925"/>
          <c:y val="0.12775"/>
          <c:w val="0.8935"/>
          <c:h val="0.7195"/>
        </c:manualLayout>
      </c:layout>
      <c:barChart>
        <c:barDir val="col"/>
        <c:grouping val="clustered"/>
        <c:varyColors val="0"/>
        <c:ser>
          <c:idx val="0"/>
          <c:order val="0"/>
          <c:tx>
            <c:strRef>
              <c:f>Graphs!$B$7</c:f>
              <c:strCache>
                <c:ptCount val="1"/>
                <c:pt idx="0">
                  <c:v>WW</c:v>
                </c:pt>
              </c:strCache>
            </c:strRef>
          </c:tx>
          <c:spPr>
            <a:solidFill>
              <a:srgbClr val="FCF305"/>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val>
            <c:numRef>
              <c:f>Graphs!$C$7</c:f>
              <c:numCache/>
            </c:numRef>
          </c:val>
        </c:ser>
        <c:ser>
          <c:idx val="1"/>
          <c:order val="1"/>
          <c:tx>
            <c:strRef>
              <c:f>Graphs!$B$8</c:f>
              <c:strCache>
                <c:ptCount val="1"/>
                <c:pt idx="0">
                  <c:v>HRSW</c:v>
                </c:pt>
              </c:strCache>
            </c:strRef>
          </c:tx>
          <c:spPr>
            <a:solidFill>
              <a:srgbClr val="00CC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Graphs!$C$8</c:f>
              <c:numCache/>
            </c:numRef>
          </c:val>
        </c:ser>
        <c:ser>
          <c:idx val="2"/>
          <c:order val="2"/>
          <c:tx>
            <c:strRef>
              <c:f>Graphs!$B$9</c:f>
              <c:strCache>
                <c:ptCount val="1"/>
                <c:pt idx="0">
                  <c:v>SB</c:v>
                </c:pt>
              </c:strCache>
            </c:strRef>
          </c:tx>
          <c:spPr>
            <a:solidFill>
              <a:srgbClr val="DD0806"/>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Graphs!$C$9</c:f>
              <c:numCache/>
            </c:numRef>
          </c:val>
        </c:ser>
        <c:overlap val="-100"/>
        <c:gapWidth val="200"/>
        <c:axId val="42756473"/>
        <c:axId val="49263938"/>
      </c:barChart>
      <c:catAx>
        <c:axId val="42756473"/>
        <c:scaling>
          <c:orientation val="minMax"/>
        </c:scaling>
        <c:axPos val="b"/>
        <c:title>
          <c:tx>
            <c:rich>
              <a:bodyPr vert="horz" rot="0" anchor="ctr"/>
              <a:lstStyle/>
              <a:p>
                <a:pPr algn="ctr">
                  <a:defRPr/>
                </a:pPr>
                <a:r>
                  <a:rPr lang="en-US" cap="none" sz="800" b="1" i="0" u="none" baseline="0">
                    <a:solidFill>
                      <a:srgbClr val="000000"/>
                    </a:solidFill>
                  </a:rPr>
                  <a:t>Crops</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263938"/>
        <c:crosses val="autoZero"/>
        <c:auto val="1"/>
        <c:lblOffset val="100"/>
        <c:tickLblSkip val="1"/>
        <c:noMultiLvlLbl val="0"/>
      </c:catAx>
      <c:valAx>
        <c:axId val="49263938"/>
        <c:scaling>
          <c:orientation val="minMax"/>
        </c:scaling>
        <c:axPos val="l"/>
        <c:title>
          <c:tx>
            <c:rich>
              <a:bodyPr vert="horz" rot="-5400000" anchor="ctr"/>
              <a:lstStyle/>
              <a:p>
                <a:pPr algn="ctr">
                  <a:defRPr/>
                </a:pPr>
                <a:r>
                  <a:rPr lang="en-US" cap="none" sz="800" b="1" i="0" u="none" baseline="0">
                    <a:solidFill>
                      <a:srgbClr val="000000"/>
                    </a:solidFill>
                  </a:rPr>
                  <a:t>$/acre/year</a:t>
                </a:r>
              </a:p>
            </c:rich>
          </c:tx>
          <c:layout>
            <c:manualLayout>
              <c:xMode val="factor"/>
              <c:yMode val="factor"/>
              <c:x val="-0.0015"/>
              <c:y val="0.002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756473"/>
        <c:crossesAt val="1"/>
        <c:crossBetween val="between"/>
        <c:dispUnits/>
      </c:valAx>
      <c:spPr>
        <a:solidFill>
          <a:srgbClr val="FFFFFF"/>
        </a:solidFill>
        <a:ln w="12700">
          <a:solidFill>
            <a:srgbClr val="808080"/>
          </a:solidFill>
        </a:ln>
      </c:spPr>
    </c:plotArea>
    <c:legend>
      <c:legendPos val="b"/>
      <c:layout>
        <c:manualLayout>
          <c:xMode val="edge"/>
          <c:yMode val="edge"/>
          <c:x val="0.40975"/>
          <c:y val="0.94075"/>
          <c:w val="0.3305"/>
          <c:h val="0.0497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Summary!B2" /><Relationship Id="rId2" Type="http://schemas.openxmlformats.org/officeDocument/2006/relationships/hyperlink" Target="#Summary!B2" /><Relationship Id="rId3" Type="http://schemas.openxmlformats.org/officeDocument/2006/relationships/hyperlink" Target="#Summary!B2" /></Relationships>
</file>

<file path=xl/drawings/_rels/drawing3.xml.rels><?xml version="1.0" encoding="utf-8" standalone="yes"?><Relationships xmlns="http://schemas.openxmlformats.org/package/2006/relationships"><Relationship Id="rId1" Type="http://schemas.openxmlformats.org/officeDocument/2006/relationships/hyperlink" Target="#'Chem Fallow'!A1" /><Relationship Id="rId2" Type="http://schemas.openxmlformats.org/officeDocument/2006/relationships/hyperlink" Target="#Instructions!A1" /><Relationship Id="rId3" Type="http://schemas.openxmlformats.org/officeDocument/2006/relationships/hyperlink" Target="#Summary!B2" /><Relationship Id="rId4" Type="http://schemas.openxmlformats.org/officeDocument/2006/relationships/hyperlink" Target="#'Instructions '!B2" /><Relationship Id="rId5" Type="http://schemas.openxmlformats.org/officeDocument/2006/relationships/hyperlink" Target="#'Winter Wheat'!B2" /><Relationship Id="rId6" Type="http://schemas.openxmlformats.org/officeDocument/2006/relationships/hyperlink" Target="#'SF Calendar'!B2" /><Relationship Id="rId7" Type="http://schemas.openxmlformats.org/officeDocument/2006/relationships/hyperlink" Target="#'WW Calendar'!B2" /><Relationship Id="rId8" Type="http://schemas.openxmlformats.org/officeDocument/2006/relationships/hyperlink" Target="#'SB Calendar'!B2" /><Relationship Id="rId9" Type="http://schemas.openxmlformats.org/officeDocument/2006/relationships/hyperlink" Target="#'Spring Barley'!B2" /><Relationship Id="rId10" Type="http://schemas.openxmlformats.org/officeDocument/2006/relationships/hyperlink" Target="#'HRSW Calendar'!B2" /><Relationship Id="rId11" Type="http://schemas.openxmlformats.org/officeDocument/2006/relationships/hyperlink" Target="#'Hard Red Spring Wheat'!B2" /><Relationship Id="rId12" Type="http://schemas.openxmlformats.org/officeDocument/2006/relationships/hyperlink" Target="#'Input Costs'!B2" /><Relationship Id="rId13" Type="http://schemas.openxmlformats.org/officeDocument/2006/relationships/hyperlink" Target="#Machinery!B2"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2</xdr:row>
      <xdr:rowOff>57150</xdr:rowOff>
    </xdr:from>
    <xdr:to>
      <xdr:col>10</xdr:col>
      <xdr:colOff>76200</xdr:colOff>
      <xdr:row>19</xdr:row>
      <xdr:rowOff>57150</xdr:rowOff>
    </xdr:to>
    <xdr:pic>
      <xdr:nvPicPr>
        <xdr:cNvPr id="1" name="Picture 4" descr="tractor CWCo"/>
        <xdr:cNvPicPr preferRelativeResize="1">
          <a:picLocks noChangeAspect="1"/>
        </xdr:cNvPicPr>
      </xdr:nvPicPr>
      <xdr:blipFill>
        <a:blip r:embed="rId1"/>
        <a:stretch>
          <a:fillRect/>
        </a:stretch>
      </xdr:blipFill>
      <xdr:spPr>
        <a:xfrm>
          <a:off x="209550" y="866775"/>
          <a:ext cx="5314950" cy="3629025"/>
        </a:xfrm>
        <a:prstGeom prst="rect">
          <a:avLst/>
        </a:prstGeom>
        <a:noFill/>
        <a:ln w="9525" cmpd="sng">
          <a:noFill/>
        </a:ln>
      </xdr:spPr>
    </xdr:pic>
    <xdr:clientData/>
  </xdr:twoCellAnchor>
  <xdr:twoCellAnchor>
    <xdr:from>
      <xdr:col>6</xdr:col>
      <xdr:colOff>495300</xdr:colOff>
      <xdr:row>0</xdr:row>
      <xdr:rowOff>38100</xdr:rowOff>
    </xdr:from>
    <xdr:to>
      <xdr:col>11</xdr:col>
      <xdr:colOff>219075</xdr:colOff>
      <xdr:row>2</xdr:row>
      <xdr:rowOff>85725</xdr:rowOff>
    </xdr:to>
    <xdr:pic>
      <xdr:nvPicPr>
        <xdr:cNvPr id="2" name="Picture 6" descr="240X80"/>
        <xdr:cNvPicPr preferRelativeResize="1">
          <a:picLocks noChangeAspect="1"/>
        </xdr:cNvPicPr>
      </xdr:nvPicPr>
      <xdr:blipFill>
        <a:blip r:embed="rId2"/>
        <a:stretch>
          <a:fillRect/>
        </a:stretch>
      </xdr:blipFill>
      <xdr:spPr>
        <a:xfrm>
          <a:off x="3619500" y="38100"/>
          <a:ext cx="24003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0</xdr:row>
      <xdr:rowOff>0</xdr:rowOff>
    </xdr:from>
    <xdr:to>
      <xdr:col>1</xdr:col>
      <xdr:colOff>609600</xdr:colOff>
      <xdr:row>0</xdr:row>
      <xdr:rowOff>0</xdr:rowOff>
    </xdr:to>
    <xdr:sp>
      <xdr:nvSpPr>
        <xdr:cNvPr id="1" name="WordArt 3">
          <a:hlinkClick r:id="rId1"/>
        </xdr:cNvPr>
        <xdr:cNvSpPr>
          <a:spLocks/>
        </xdr:cNvSpPr>
      </xdr:nvSpPr>
      <xdr:spPr>
        <a:xfrm>
          <a:off x="838200" y="0"/>
          <a:ext cx="0" cy="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0000D4"/>
              </a:solidFill>
              <a:latin typeface="Arial Black"/>
              <a:cs typeface="Arial Black"/>
            </a:rPr>
            <a:t>Summary</a:t>
          </a:r>
        </a:p>
      </xdr:txBody>
    </xdr:sp>
    <xdr:clientData/>
  </xdr:twoCellAnchor>
  <xdr:twoCellAnchor>
    <xdr:from>
      <xdr:col>1</xdr:col>
      <xdr:colOff>609600</xdr:colOff>
      <xdr:row>0</xdr:row>
      <xdr:rowOff>0</xdr:rowOff>
    </xdr:from>
    <xdr:to>
      <xdr:col>1</xdr:col>
      <xdr:colOff>609600</xdr:colOff>
      <xdr:row>0</xdr:row>
      <xdr:rowOff>0</xdr:rowOff>
    </xdr:to>
    <xdr:sp>
      <xdr:nvSpPr>
        <xdr:cNvPr id="2" name="WordArt 17">
          <a:hlinkClick r:id="rId2"/>
        </xdr:cNvPr>
        <xdr:cNvSpPr>
          <a:spLocks/>
        </xdr:cNvSpPr>
      </xdr:nvSpPr>
      <xdr:spPr>
        <a:xfrm>
          <a:off x="838200" y="0"/>
          <a:ext cx="0" cy="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0000D4"/>
              </a:solidFill>
              <a:latin typeface="Arial Black"/>
              <a:cs typeface="Arial Black"/>
            </a:rPr>
            <a:t>Summary</a:t>
          </a:r>
        </a:p>
      </xdr:txBody>
    </xdr:sp>
    <xdr:clientData/>
  </xdr:twoCellAnchor>
  <xdr:twoCellAnchor>
    <xdr:from>
      <xdr:col>1</xdr:col>
      <xdr:colOff>609600</xdr:colOff>
      <xdr:row>0</xdr:row>
      <xdr:rowOff>0</xdr:rowOff>
    </xdr:from>
    <xdr:to>
      <xdr:col>1</xdr:col>
      <xdr:colOff>609600</xdr:colOff>
      <xdr:row>0</xdr:row>
      <xdr:rowOff>0</xdr:rowOff>
    </xdr:to>
    <xdr:sp>
      <xdr:nvSpPr>
        <xdr:cNvPr id="3" name="WordArt 18">
          <a:hlinkClick r:id="rId3"/>
        </xdr:cNvPr>
        <xdr:cNvSpPr>
          <a:spLocks/>
        </xdr:cNvSpPr>
      </xdr:nvSpPr>
      <xdr:spPr>
        <a:xfrm>
          <a:off x="838200" y="0"/>
          <a:ext cx="0" cy="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0000D4"/>
              </a:solidFill>
              <a:latin typeface="Arial Black"/>
              <a:cs typeface="Arial Black"/>
            </a:rPr>
            <a:t>Summary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0</xdr:rowOff>
    </xdr:from>
    <xdr:to>
      <xdr:col>8</xdr:col>
      <xdr:colOff>133350</xdr:colOff>
      <xdr:row>0</xdr:row>
      <xdr:rowOff>0</xdr:rowOff>
    </xdr:to>
    <xdr:grpSp>
      <xdr:nvGrpSpPr>
        <xdr:cNvPr id="1" name="Group 17">
          <a:hlinkClick r:id="rId1"/>
        </xdr:cNvPr>
        <xdr:cNvGrpSpPr>
          <a:grpSpLocks/>
        </xdr:cNvGrpSpPr>
      </xdr:nvGrpSpPr>
      <xdr:grpSpPr>
        <a:xfrm>
          <a:off x="419100" y="0"/>
          <a:ext cx="5972175" cy="0"/>
          <a:chOff x="56" y="10"/>
          <a:chExt cx="744" cy="25"/>
        </a:xfrm>
        <a:solidFill>
          <a:srgbClr val="FFFFFF"/>
        </a:solidFill>
      </xdr:grpSpPr>
    </xdr:grpSp>
    <xdr:clientData/>
  </xdr:twoCellAnchor>
  <xdr:twoCellAnchor>
    <xdr:from>
      <xdr:col>1</xdr:col>
      <xdr:colOff>104775</xdr:colOff>
      <xdr:row>0</xdr:row>
      <xdr:rowOff>0</xdr:rowOff>
    </xdr:from>
    <xdr:to>
      <xdr:col>8</xdr:col>
      <xdr:colOff>76200</xdr:colOff>
      <xdr:row>0</xdr:row>
      <xdr:rowOff>0</xdr:rowOff>
    </xdr:to>
    <xdr:grpSp>
      <xdr:nvGrpSpPr>
        <xdr:cNvPr id="8" name="Group 10"/>
        <xdr:cNvGrpSpPr>
          <a:grpSpLocks/>
        </xdr:cNvGrpSpPr>
      </xdr:nvGrpSpPr>
      <xdr:grpSpPr>
        <a:xfrm>
          <a:off x="419100" y="0"/>
          <a:ext cx="5915025" cy="0"/>
          <a:chOff x="7" y="43"/>
          <a:chExt cx="767" cy="29"/>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23</xdr:row>
      <xdr:rowOff>85725</xdr:rowOff>
    </xdr:from>
    <xdr:to>
      <xdr:col>6</xdr:col>
      <xdr:colOff>114300</xdr:colOff>
      <xdr:row>42</xdr:row>
      <xdr:rowOff>123825</xdr:rowOff>
    </xdr:to>
    <xdr:graphicFrame>
      <xdr:nvGraphicFramePr>
        <xdr:cNvPr id="1" name="Chart 3"/>
        <xdr:cNvGraphicFramePr/>
      </xdr:nvGraphicFramePr>
      <xdr:xfrm>
        <a:off x="438150" y="3933825"/>
        <a:ext cx="3543300" cy="3114675"/>
      </xdr:xfrm>
      <a:graphic>
        <a:graphicData uri="http://schemas.openxmlformats.org/drawingml/2006/chart">
          <c:chart xmlns:c="http://schemas.openxmlformats.org/drawingml/2006/chart" r:id="rId1"/>
        </a:graphicData>
      </a:graphic>
    </xdr:graphicFrame>
    <xdr:clientData/>
  </xdr:twoCellAnchor>
  <xdr:twoCellAnchor>
    <xdr:from>
      <xdr:col>1</xdr:col>
      <xdr:colOff>209550</xdr:colOff>
      <xdr:row>3</xdr:row>
      <xdr:rowOff>0</xdr:rowOff>
    </xdr:from>
    <xdr:to>
      <xdr:col>6</xdr:col>
      <xdr:colOff>142875</xdr:colOff>
      <xdr:row>22</xdr:row>
      <xdr:rowOff>28575</xdr:rowOff>
    </xdr:to>
    <xdr:graphicFrame>
      <xdr:nvGraphicFramePr>
        <xdr:cNvPr id="2" name="Chart 93"/>
        <xdr:cNvGraphicFramePr/>
      </xdr:nvGraphicFramePr>
      <xdr:xfrm>
        <a:off x="438150" y="571500"/>
        <a:ext cx="3571875" cy="31432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te\Documents\My%20Documents\Budgets\E%20WA%20Dryland%20Budgets\April%20from%20Ellen\Macintosh%20HDDocuments%20and%20Settings\Kate%20Painter\My%20Documents\Downloads\Macintosh%20HDUsers\neilmiller\Downloads\Macintosh%20HDDocuments%20and%20Settings\kpainter\My%20Documents\Budget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te\Documents\My%20Documents\Budgets\E%20WA%20Dryland%20Budgets\April%20from%20Ellen\Macintosh%20HDDocuments%20and%20Settings\Kate%20Painter\My%20Documents\Downloads\Macintosh%20HDUsers\neilmiller\Downloads\Macintosh%20HDDocuments%20and%20Settings\kpainter\Desktop\Post%20to%20websi"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Instructions"/>
      <sheetName val="SUMMARY"/>
      <sheetName val="GRAPHICAL"/>
      <sheetName val="Index"/>
      <sheetName val="SWWW"/>
      <sheetName val="DNSW"/>
      <sheetName val="SWSW"/>
      <sheetName val="SB"/>
      <sheetName val="PEAS"/>
      <sheetName val="LENTILS"/>
      <sheetName val="GARB"/>
      <sheetName val="SPR CANOLA"/>
      <sheetName val="PUSHED SPR CANOLA"/>
      <sheetName val="PRICES"/>
      <sheetName val="MACHINE"/>
      <sheetName val="Instructions "/>
      <sheetName val="Graphs"/>
      <sheetName val="Summer Fallow"/>
      <sheetName val="SF Calendar"/>
      <sheetName val="Winter Wheat"/>
      <sheetName val="WW Calendar"/>
      <sheetName val="Spring Barley"/>
      <sheetName val="SB Calendar"/>
      <sheetName val="Hard Red Spring Wheat"/>
      <sheetName val="HRSW Calendar"/>
      <sheetName val="Machinery Complement"/>
      <sheetName val="Hourly Machinery Costs"/>
    </sheetNames>
    <sheetDataSet>
      <sheetData sheetId="14">
        <row r="11">
          <cell r="D11">
            <v>0.17</v>
          </cell>
        </row>
        <row r="12">
          <cell r="D12">
            <v>0.2</v>
          </cell>
        </row>
        <row r="13">
          <cell r="D13">
            <v>0.22</v>
          </cell>
        </row>
        <row r="14">
          <cell r="D14">
            <v>0.48</v>
          </cell>
        </row>
        <row r="15">
          <cell r="D15">
            <v>0.78</v>
          </cell>
        </row>
        <row r="16">
          <cell r="D16">
            <v>0.65</v>
          </cell>
        </row>
        <row r="17">
          <cell r="D17">
            <v>0.29</v>
          </cell>
        </row>
        <row r="24">
          <cell r="D24">
            <v>0.2</v>
          </cell>
        </row>
        <row r="26">
          <cell r="D26">
            <v>0.015</v>
          </cell>
        </row>
        <row r="27">
          <cell r="D27">
            <v>6.25</v>
          </cell>
        </row>
        <row r="29">
          <cell r="D29">
            <v>0.0234</v>
          </cell>
        </row>
        <row r="30">
          <cell r="D30">
            <v>17.5</v>
          </cell>
        </row>
        <row r="31">
          <cell r="D31">
            <v>32.5</v>
          </cell>
        </row>
        <row r="32">
          <cell r="D32">
            <v>1.05</v>
          </cell>
        </row>
        <row r="36">
          <cell r="D36">
            <v>1.75</v>
          </cell>
        </row>
        <row r="37">
          <cell r="D37">
            <v>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Instructions"/>
      <sheetName val="Summary"/>
      <sheetName val="Graphs"/>
      <sheetName val="Prices"/>
      <sheetName val="Winter Wheat"/>
      <sheetName val="Spring Barley"/>
      <sheetName val="Soft White Spring Wheat"/>
      <sheetName val="Hard Red Spring Wheat"/>
      <sheetName val="Spring Peas"/>
      <sheetName val="Spring Lentils"/>
      <sheetName val="Garbanzos"/>
      <sheetName val="Spring Canola, Direct Harvested"/>
      <sheetName val="Spring Canola, Pushed Harvest"/>
      <sheetName val="SWWW Calendar"/>
      <sheetName val="SB Calendar"/>
      <sheetName val="SWSW Calendar"/>
      <sheetName val="HRSW Calendar"/>
      <sheetName val="SP Calendar"/>
      <sheetName val="SL Calendar"/>
      <sheetName val="G Calendar"/>
      <sheetName val="SC,DH Calendar"/>
      <sheetName val="SC, PH Calendar"/>
      <sheetName val="Summer Fallow"/>
      <sheetName val="SF Calendar"/>
      <sheetName val="CT Winter Wheat"/>
      <sheetName val="CT WW Calendar"/>
      <sheetName val="Chem Fallow"/>
      <sheetName val="CF Calendar"/>
      <sheetName val="RT WW"/>
      <sheetName val="RT WW Calendar"/>
      <sheetName val="CT Machinery Complement"/>
      <sheetName val="CT Hourly Machinery Cost"/>
    </sheetNames>
    <sheetDataSet>
      <sheetData sheetId="4">
        <row r="5">
          <cell r="D5">
            <v>3.5</v>
          </cell>
        </row>
        <row r="6">
          <cell r="D6">
            <v>3</v>
          </cell>
        </row>
        <row r="9">
          <cell r="D9">
            <v>0.35</v>
          </cell>
        </row>
        <row r="10">
          <cell r="D10">
            <v>0.2</v>
          </cell>
        </row>
        <row r="11">
          <cell r="D11">
            <v>0.35</v>
          </cell>
        </row>
        <row r="12">
          <cell r="D12">
            <v>0.27</v>
          </cell>
        </row>
        <row r="13">
          <cell r="D13">
            <v>0.495</v>
          </cell>
        </row>
        <row r="14">
          <cell r="D14">
            <v>0.48</v>
          </cell>
        </row>
        <row r="15">
          <cell r="D15">
            <v>6</v>
          </cell>
        </row>
        <row r="21">
          <cell r="D21">
            <v>0.44</v>
          </cell>
        </row>
        <row r="29">
          <cell r="D29">
            <v>0.01</v>
          </cell>
        </row>
        <row r="37">
          <cell r="D37">
            <v>6.5</v>
          </cell>
        </row>
        <row r="38">
          <cell r="D38">
            <v>10</v>
          </cell>
        </row>
        <row r="39">
          <cell r="D39">
            <v>2.5</v>
          </cell>
        </row>
        <row r="40">
          <cell r="D40">
            <v>1</v>
          </cell>
        </row>
        <row r="45">
          <cell r="D45">
            <v>32.5</v>
          </cell>
        </row>
        <row r="46">
          <cell r="D46">
            <v>2</v>
          </cell>
        </row>
        <row r="48">
          <cell r="D48">
            <v>1.2</v>
          </cell>
        </row>
        <row r="49">
          <cell r="D49">
            <v>1.81</v>
          </cell>
        </row>
        <row r="51">
          <cell r="D51">
            <v>0.3</v>
          </cell>
        </row>
        <row r="52">
          <cell r="D52">
            <v>10.17</v>
          </cell>
        </row>
        <row r="53">
          <cell r="D53">
            <v>5.25</v>
          </cell>
        </row>
        <row r="55">
          <cell r="D55">
            <v>12.52</v>
          </cell>
        </row>
        <row r="58">
          <cell r="D58">
            <v>6.88</v>
          </cell>
        </row>
        <row r="60">
          <cell r="D60">
            <v>3.55</v>
          </cell>
        </row>
        <row r="61">
          <cell r="D61">
            <v>0.25</v>
          </cell>
        </row>
        <row r="62">
          <cell r="D62">
            <v>4.15</v>
          </cell>
        </row>
        <row r="63">
          <cell r="D63">
            <v>2.23</v>
          </cell>
        </row>
        <row r="64">
          <cell r="D64">
            <v>1.22</v>
          </cell>
        </row>
        <row r="65">
          <cell r="D65">
            <v>0.93</v>
          </cell>
        </row>
        <row r="66">
          <cell r="D66">
            <v>0.43</v>
          </cell>
        </row>
        <row r="67">
          <cell r="D67">
            <v>0.43</v>
          </cell>
        </row>
        <row r="71">
          <cell r="D71">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sanr.wsu.edu/Publications/FarmMgmtEconomics.htm"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farm-mgmt.wsu.edu/WhatsNew.htm" TargetMode="External" /><Relationship Id="rId2" Type="http://schemas.openxmlformats.org/officeDocument/2006/relationships/hyperlink" Target="http://csanr.wsu.edu/Publications/FarmMgmtEconomics.htm"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csanr.wsu.edu/Publications/FarmMgmtEconomics.htm"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8:K38"/>
  <sheetViews>
    <sheetView tabSelected="1" zoomScalePageLayoutView="0" workbookViewId="0" topLeftCell="A1">
      <selection activeCell="J27" sqref="J27"/>
    </sheetView>
  </sheetViews>
  <sheetFormatPr defaultColWidth="8.7109375" defaultRowHeight="12.75"/>
  <cols>
    <col min="1" max="1" width="3.28125" style="46" customWidth="1"/>
    <col min="2" max="10" width="8.7109375" style="46" customWidth="1"/>
    <col min="11" max="11" width="5.28125" style="46" customWidth="1"/>
    <col min="12" max="16384" width="8.7109375" style="46" customWidth="1"/>
  </cols>
  <sheetData>
    <row r="1" ht="51" customHeight="1"/>
    <row r="3" ht="12.75"/>
    <row r="4" ht="12.75"/>
    <row r="5" ht="12.75"/>
    <row r="6" ht="12.75"/>
    <row r="7" ht="12.75"/>
    <row r="8" ht="12.75"/>
    <row r="9" ht="12.75"/>
    <row r="10" ht="12.75"/>
    <row r="11" ht="12.75"/>
    <row r="12" ht="12.75"/>
    <row r="13" ht="12.75"/>
    <row r="14" ht="12.75"/>
    <row r="15" ht="12.75"/>
    <row r="16" ht="12.75"/>
    <row r="17" ht="12.75"/>
    <row r="18" ht="81.75" customHeight="1">
      <c r="K18" s="110" t="s">
        <v>64</v>
      </c>
    </row>
    <row r="19" ht="12.75">
      <c r="I19" s="110"/>
    </row>
    <row r="20" ht="12.75"/>
    <row r="23" ht="18.75">
      <c r="F23" s="134" t="s">
        <v>339</v>
      </c>
    </row>
    <row r="24" ht="18.75">
      <c r="F24" s="134" t="s">
        <v>278</v>
      </c>
    </row>
    <row r="25" ht="12.75">
      <c r="F25" s="77"/>
    </row>
    <row r="26" s="202" customFormat="1" ht="14.25">
      <c r="F26" s="203" t="s">
        <v>340</v>
      </c>
    </row>
    <row r="27" s="202" customFormat="1" ht="14.25">
      <c r="F27" s="204" t="s">
        <v>341</v>
      </c>
    </row>
    <row r="28" s="202" customFormat="1" ht="12.75">
      <c r="F28" s="203" t="s">
        <v>74</v>
      </c>
    </row>
    <row r="29" s="202" customFormat="1" ht="12.75">
      <c r="F29" s="203" t="s">
        <v>75</v>
      </c>
    </row>
    <row r="30" s="202" customFormat="1" ht="12.75">
      <c r="F30" s="203" t="s">
        <v>76</v>
      </c>
    </row>
    <row r="31" s="202" customFormat="1" ht="12.75">
      <c r="F31" s="203" t="s">
        <v>77</v>
      </c>
    </row>
    <row r="32" s="202" customFormat="1" ht="12.75">
      <c r="F32" s="203" t="s">
        <v>44</v>
      </c>
    </row>
    <row r="33" s="202" customFormat="1" ht="12.75"/>
    <row r="34" s="202" customFormat="1" ht="14.25">
      <c r="F34" s="204" t="s">
        <v>342</v>
      </c>
    </row>
    <row r="37" spans="3:9" ht="12.75">
      <c r="C37" s="405" t="s">
        <v>308</v>
      </c>
      <c r="D37" s="406"/>
      <c r="E37" s="406"/>
      <c r="F37" s="406"/>
      <c r="G37" s="406"/>
      <c r="H37" s="406"/>
      <c r="I37" s="406"/>
    </row>
    <row r="38" spans="3:9" ht="12.75">
      <c r="C38" s="407" t="s">
        <v>254</v>
      </c>
      <c r="D38" s="408"/>
      <c r="E38" s="408"/>
      <c r="F38" s="408"/>
      <c r="G38" s="408"/>
      <c r="H38" s="408"/>
      <c r="I38" s="408"/>
    </row>
  </sheetData>
  <sheetProtection/>
  <mergeCells count="2">
    <mergeCell ref="C37:I37"/>
    <mergeCell ref="C38:I38"/>
  </mergeCells>
  <hyperlinks>
    <hyperlink ref="C38" r:id="rId1" display="http://csanr.wsu.edu/Publications/FarmMgmtEconomics.htm"/>
  </hyperlinks>
  <printOptions horizontalCentered="1"/>
  <pageMargins left="0.75" right="0.75" top="1" bottom="1" header="0.5" footer="0.5"/>
  <pageSetup horizontalDpi="600" verticalDpi="600" orientation="portrait" scale="87"/>
  <headerFooter alignWithMargins="0">
    <oddFooter>&amp;L&amp;A&amp;C&amp;F&amp;R&amp;D</oddFooter>
  </headerFooter>
  <drawing r:id="rId2"/>
</worksheet>
</file>

<file path=xl/worksheets/sheet10.xml><?xml version="1.0" encoding="utf-8"?>
<worksheet xmlns="http://schemas.openxmlformats.org/spreadsheetml/2006/main" xmlns:r="http://schemas.openxmlformats.org/officeDocument/2006/relationships">
  <sheetPr codeName="Sheet7"/>
  <dimension ref="A1:AG155"/>
  <sheetViews>
    <sheetView zoomScalePageLayoutView="0" workbookViewId="0" topLeftCell="A1">
      <selection activeCell="A1" sqref="A1"/>
    </sheetView>
  </sheetViews>
  <sheetFormatPr defaultColWidth="8.7109375" defaultRowHeight="12.75"/>
  <cols>
    <col min="1" max="1" width="3.7109375" style="46" customWidth="1"/>
    <col min="2" max="2" width="27.140625" style="0" customWidth="1"/>
    <col min="3" max="3" width="2.00390625" style="0" customWidth="1"/>
    <col min="4" max="4" width="11.7109375" style="72" customWidth="1"/>
    <col min="5" max="5" width="1.1484375" style="0" customWidth="1"/>
    <col min="6" max="6" width="10.7109375" style="27" customWidth="1"/>
    <col min="7" max="7" width="1.421875" style="0" customWidth="1"/>
    <col min="8" max="8" width="10.7109375" style="72" customWidth="1"/>
    <col min="9" max="9" width="1.7109375" style="0" customWidth="1"/>
    <col min="10" max="10" width="18.7109375" style="39" customWidth="1"/>
    <col min="11" max="32" width="8.7109375" style="46" customWidth="1"/>
  </cols>
  <sheetData>
    <row r="1" spans="4:8" s="46" customFormat="1" ht="12.75">
      <c r="D1" s="77"/>
      <c r="E1" s="103"/>
      <c r="F1" s="104"/>
      <c r="G1" s="103"/>
      <c r="H1" s="105"/>
    </row>
    <row r="2" spans="2:10" s="46" customFormat="1" ht="18" customHeight="1">
      <c r="B2" s="413" t="s">
        <v>335</v>
      </c>
      <c r="C2" s="430"/>
      <c r="D2" s="430"/>
      <c r="E2" s="430"/>
      <c r="F2" s="430"/>
      <c r="G2" s="430"/>
      <c r="H2" s="430"/>
      <c r="I2" s="430"/>
      <c r="J2" s="431"/>
    </row>
    <row r="3" spans="2:10" s="46" customFormat="1" ht="12.75">
      <c r="B3" s="416" t="s">
        <v>314</v>
      </c>
      <c r="C3" s="432"/>
      <c r="D3" s="432"/>
      <c r="E3" s="432"/>
      <c r="F3" s="432"/>
      <c r="G3" s="432"/>
      <c r="H3" s="432"/>
      <c r="I3" s="432"/>
      <c r="J3" s="433"/>
    </row>
    <row r="4" spans="2:10" s="46" customFormat="1" ht="12.75">
      <c r="B4" s="419" t="s">
        <v>5</v>
      </c>
      <c r="C4" s="434"/>
      <c r="D4" s="434"/>
      <c r="E4" s="434"/>
      <c r="F4" s="434"/>
      <c r="G4" s="434"/>
      <c r="H4" s="434"/>
      <c r="I4" s="434"/>
      <c r="J4" s="435"/>
    </row>
    <row r="5" spans="2:10" s="46" customFormat="1" ht="12.75">
      <c r="B5" s="422" t="s">
        <v>316</v>
      </c>
      <c r="C5" s="436"/>
      <c r="D5" s="436"/>
      <c r="E5" s="436"/>
      <c r="F5" s="436"/>
      <c r="G5" s="436"/>
      <c r="H5" s="436"/>
      <c r="I5" s="436"/>
      <c r="J5" s="437"/>
    </row>
    <row r="6" spans="1:10" s="46" customFormat="1" ht="12.75">
      <c r="A6" s="155"/>
      <c r="B6" s="425" t="s">
        <v>334</v>
      </c>
      <c r="C6" s="428"/>
      <c r="D6" s="428"/>
      <c r="E6" s="428"/>
      <c r="F6" s="428"/>
      <c r="G6" s="428"/>
      <c r="H6" s="428"/>
      <c r="I6" s="428"/>
      <c r="J6" s="429"/>
    </row>
    <row r="7" spans="4:8" s="46" customFormat="1" ht="7.5" customHeight="1">
      <c r="D7" s="77"/>
      <c r="F7" s="47"/>
      <c r="H7" s="77"/>
    </row>
    <row r="8" spans="2:10" ht="19.5" customHeight="1">
      <c r="B8" s="369" t="s">
        <v>97</v>
      </c>
      <c r="C8" s="370"/>
      <c r="D8" s="371"/>
      <c r="E8" s="370"/>
      <c r="F8" s="371"/>
      <c r="G8" s="370"/>
      <c r="H8" s="371"/>
      <c r="I8" s="370"/>
      <c r="J8" s="370"/>
    </row>
    <row r="9" spans="1:32" s="41" customFormat="1" ht="6" customHeight="1">
      <c r="A9" s="46"/>
      <c r="B9" s="345"/>
      <c r="C9" s="345"/>
      <c r="D9" s="346"/>
      <c r="E9" s="345"/>
      <c r="F9" s="347"/>
      <c r="G9" s="345"/>
      <c r="H9" s="346"/>
      <c r="I9" s="345"/>
      <c r="J9" s="345"/>
      <c r="K9" s="46"/>
      <c r="L9" s="46"/>
      <c r="M9" s="46"/>
      <c r="N9" s="46"/>
      <c r="O9" s="46"/>
      <c r="P9" s="46"/>
      <c r="Q9" s="46"/>
      <c r="R9" s="46"/>
      <c r="S9" s="46"/>
      <c r="T9" s="46"/>
      <c r="U9" s="46"/>
      <c r="V9" s="46"/>
      <c r="W9" s="46"/>
      <c r="X9" s="46"/>
      <c r="Y9" s="46"/>
      <c r="Z9" s="46"/>
      <c r="AA9" s="46"/>
      <c r="AB9" s="46"/>
      <c r="AC9" s="46"/>
      <c r="AD9" s="46"/>
      <c r="AE9" s="46"/>
      <c r="AF9" s="46"/>
    </row>
    <row r="10" spans="2:10" ht="15">
      <c r="B10" s="2"/>
      <c r="C10" s="2"/>
      <c r="D10" s="3" t="s">
        <v>364</v>
      </c>
      <c r="E10" s="3"/>
      <c r="F10" s="4"/>
      <c r="G10" s="3"/>
      <c r="H10" s="3" t="s">
        <v>365</v>
      </c>
      <c r="I10" s="3"/>
      <c r="J10" s="5" t="s">
        <v>366</v>
      </c>
    </row>
    <row r="11" spans="2:10" ht="15">
      <c r="B11" s="6" t="s">
        <v>367</v>
      </c>
      <c r="C11" s="2"/>
      <c r="D11" s="3" t="s">
        <v>368</v>
      </c>
      <c r="E11" s="3"/>
      <c r="F11" s="4" t="s">
        <v>369</v>
      </c>
      <c r="G11" s="3"/>
      <c r="H11" s="3" t="s">
        <v>321</v>
      </c>
      <c r="I11" s="3"/>
      <c r="J11" s="5" t="s">
        <v>236</v>
      </c>
    </row>
    <row r="12" spans="2:10" ht="5.25" customHeight="1">
      <c r="B12" s="7"/>
      <c r="C12" s="8"/>
      <c r="D12" s="7"/>
      <c r="E12" s="8"/>
      <c r="F12" s="9"/>
      <c r="G12" s="8"/>
      <c r="H12" s="7"/>
      <c r="I12" s="8"/>
      <c r="J12" s="10"/>
    </row>
    <row r="13" spans="2:10" ht="12.75">
      <c r="B13" s="11" t="s">
        <v>237</v>
      </c>
      <c r="C13" s="12"/>
      <c r="D13" s="51"/>
      <c r="E13" s="12"/>
      <c r="F13" s="13"/>
      <c r="G13" s="12"/>
      <c r="H13" s="51"/>
      <c r="I13" s="12"/>
      <c r="J13" s="14"/>
    </row>
    <row r="14" spans="2:16" ht="12.75">
      <c r="B14" s="15" t="s">
        <v>179</v>
      </c>
      <c r="C14" s="16"/>
      <c r="D14" s="372">
        <f>Summary!E15</f>
        <v>1.5</v>
      </c>
      <c r="E14" s="223"/>
      <c r="F14" s="224" t="s">
        <v>180</v>
      </c>
      <c r="G14" s="223"/>
      <c r="H14" s="374">
        <f>Summary!F15</f>
        <v>107</v>
      </c>
      <c r="I14" s="16"/>
      <c r="J14" s="18">
        <f>D14*H14</f>
        <v>160.5</v>
      </c>
      <c r="L14" s="59"/>
      <c r="M14" s="59"/>
      <c r="N14" s="59"/>
      <c r="O14" s="59"/>
      <c r="P14" s="59"/>
    </row>
    <row r="15" spans="2:10" ht="12.75">
      <c r="B15" s="16"/>
      <c r="C15" s="16"/>
      <c r="D15" s="223"/>
      <c r="E15" s="223"/>
      <c r="F15" s="225"/>
      <c r="G15" s="223"/>
      <c r="H15" s="226"/>
      <c r="I15" s="16"/>
      <c r="J15" s="18"/>
    </row>
    <row r="16" spans="2:10" ht="12.75">
      <c r="B16" s="11" t="s">
        <v>30</v>
      </c>
      <c r="C16" s="12"/>
      <c r="D16" s="227"/>
      <c r="E16" s="227"/>
      <c r="F16" s="228"/>
      <c r="G16" s="227"/>
      <c r="H16" s="219"/>
      <c r="I16" s="12"/>
      <c r="J16" s="21"/>
    </row>
    <row r="17" spans="2:10" ht="4.5" customHeight="1">
      <c r="B17" s="12"/>
      <c r="C17" s="12"/>
      <c r="D17" s="227"/>
      <c r="E17" s="227"/>
      <c r="F17" s="228"/>
      <c r="G17" s="227"/>
      <c r="H17" s="219"/>
      <c r="I17" s="12"/>
      <c r="J17" s="21"/>
    </row>
    <row r="18" spans="2:10" ht="12.75">
      <c r="B18" s="12" t="s">
        <v>238</v>
      </c>
      <c r="C18" s="12"/>
      <c r="D18" s="227"/>
      <c r="E18" s="227"/>
      <c r="F18" s="228"/>
      <c r="G18" s="227"/>
      <c r="H18" s="219"/>
      <c r="I18" s="12"/>
      <c r="J18" s="22">
        <f>SUM(J19:J19)</f>
        <v>9.6</v>
      </c>
    </row>
    <row r="19" spans="2:10" ht="12.75">
      <c r="B19" s="23" t="s">
        <v>181</v>
      </c>
      <c r="C19" s="12"/>
      <c r="D19" s="375">
        <v>80</v>
      </c>
      <c r="E19" s="227"/>
      <c r="F19" s="229" t="s">
        <v>302</v>
      </c>
      <c r="G19" s="227"/>
      <c r="H19" s="361">
        <f>+BarleySeed</f>
        <v>0.12</v>
      </c>
      <c r="I19" s="12"/>
      <c r="J19" s="21">
        <f>D19*H19</f>
        <v>9.6</v>
      </c>
    </row>
    <row r="20" spans="2:10" ht="4.5" customHeight="1">
      <c r="B20" s="12"/>
      <c r="C20" s="12"/>
      <c r="D20" s="227"/>
      <c r="E20" s="227"/>
      <c r="F20" s="228"/>
      <c r="G20" s="227"/>
      <c r="H20" s="219"/>
      <c r="I20" s="12"/>
      <c r="J20" s="21"/>
    </row>
    <row r="21" spans="2:12" ht="12.75">
      <c r="B21" s="12" t="s">
        <v>239</v>
      </c>
      <c r="C21" s="12"/>
      <c r="D21" s="227"/>
      <c r="E21" s="227"/>
      <c r="F21" s="228"/>
      <c r="G21" s="227"/>
      <c r="H21" s="219"/>
      <c r="I21" s="12"/>
      <c r="J21" s="22">
        <f>SUM(J22:J25)</f>
        <v>47</v>
      </c>
      <c r="L21" s="48"/>
    </row>
    <row r="22" spans="2:10" ht="12.75">
      <c r="B22" s="23" t="s">
        <v>271</v>
      </c>
      <c r="C22" s="12"/>
      <c r="D22" s="375">
        <v>60</v>
      </c>
      <c r="E22" s="227"/>
      <c r="F22" s="229" t="s">
        <v>302</v>
      </c>
      <c r="G22" s="227"/>
      <c r="H22" s="361">
        <f>Nitrogen</f>
        <v>0.55</v>
      </c>
      <c r="I22" s="12"/>
      <c r="J22" s="25">
        <f>D22*H22</f>
        <v>33</v>
      </c>
    </row>
    <row r="23" spans="2:10" ht="12.75">
      <c r="B23" s="23" t="s">
        <v>317</v>
      </c>
      <c r="C23" s="12"/>
      <c r="D23" s="375">
        <v>10</v>
      </c>
      <c r="E23" s="227"/>
      <c r="F23" s="229" t="s">
        <v>302</v>
      </c>
      <c r="G23" s="227"/>
      <c r="H23" s="361">
        <f>Phosphorous</f>
        <v>1.17</v>
      </c>
      <c r="I23" s="12"/>
      <c r="J23" s="25">
        <f>D23*H23</f>
        <v>11.7</v>
      </c>
    </row>
    <row r="24" spans="2:10" ht="12.75">
      <c r="B24" s="23" t="s">
        <v>211</v>
      </c>
      <c r="C24" s="12"/>
      <c r="D24" s="375">
        <v>10</v>
      </c>
      <c r="E24" s="227">
        <v>5</v>
      </c>
      <c r="F24" s="229" t="s">
        <v>302</v>
      </c>
      <c r="G24" s="227"/>
      <c r="H24" s="361">
        <f>Sulfur</f>
        <v>0.23</v>
      </c>
      <c r="I24" s="12"/>
      <c r="J24" s="21">
        <f>D24*H24</f>
        <v>2.3000000000000003</v>
      </c>
    </row>
    <row r="25" spans="2:10" ht="12.75">
      <c r="B25" s="23"/>
      <c r="C25" s="12"/>
      <c r="D25" s="375"/>
      <c r="E25" s="227"/>
      <c r="F25" s="229"/>
      <c r="G25" s="227"/>
      <c r="H25" s="361"/>
      <c r="I25" s="12"/>
      <c r="J25" s="21">
        <f>D25*H25</f>
        <v>0</v>
      </c>
    </row>
    <row r="26" spans="2:10" ht="4.5" customHeight="1">
      <c r="B26" s="12"/>
      <c r="C26" s="12"/>
      <c r="D26" s="227"/>
      <c r="E26" s="227"/>
      <c r="F26" s="228"/>
      <c r="G26" s="227"/>
      <c r="H26" s="219"/>
      <c r="I26" s="12"/>
      <c r="J26" s="25"/>
    </row>
    <row r="27" spans="2:10" ht="12.75">
      <c r="B27" s="12" t="s">
        <v>240</v>
      </c>
      <c r="C27" s="12"/>
      <c r="D27" s="227"/>
      <c r="E27" s="227"/>
      <c r="F27" s="228"/>
      <c r="G27" s="227"/>
      <c r="H27" s="219"/>
      <c r="I27" s="12"/>
      <c r="J27" s="26">
        <f>SUM(J28:J33)</f>
        <v>26.639999999999997</v>
      </c>
    </row>
    <row r="28" spans="2:10" ht="12.75">
      <c r="B28" s="23" t="s">
        <v>229</v>
      </c>
      <c r="C28" s="12"/>
      <c r="D28" s="375">
        <v>8</v>
      </c>
      <c r="E28" s="227"/>
      <c r="F28" s="229" t="s">
        <v>235</v>
      </c>
      <c r="G28" s="227"/>
      <c r="H28" s="361">
        <f>+DPesticide</f>
        <v>0.16</v>
      </c>
      <c r="I28" s="12"/>
      <c r="J28" s="25">
        <f aca="true" t="shared" si="0" ref="J28:J33">D28*H28</f>
        <v>1.28</v>
      </c>
    </row>
    <row r="29" spans="2:10" ht="12.75">
      <c r="B29" s="23" t="s">
        <v>182</v>
      </c>
      <c r="C29" s="12"/>
      <c r="D29" s="375">
        <v>1</v>
      </c>
      <c r="E29" s="227"/>
      <c r="F29" s="229" t="s">
        <v>135</v>
      </c>
      <c r="G29" s="227"/>
      <c r="H29" s="361">
        <f>+Bronate</f>
        <v>7.68</v>
      </c>
      <c r="I29" s="12"/>
      <c r="J29" s="25">
        <f t="shared" si="0"/>
        <v>7.68</v>
      </c>
    </row>
    <row r="30" spans="2:10" ht="12.75">
      <c r="B30" s="23" t="s">
        <v>277</v>
      </c>
      <c r="C30" s="12"/>
      <c r="D30" s="375">
        <v>10.4</v>
      </c>
      <c r="E30" s="227"/>
      <c r="F30" s="229" t="s">
        <v>235</v>
      </c>
      <c r="G30" s="227"/>
      <c r="H30" s="361">
        <f>+Excel</f>
        <v>0.2</v>
      </c>
      <c r="I30" s="12"/>
      <c r="J30" s="25">
        <f t="shared" si="0"/>
        <v>2.08</v>
      </c>
    </row>
    <row r="31" spans="2:10" ht="12.75">
      <c r="B31" s="23" t="s">
        <v>231</v>
      </c>
      <c r="C31" s="12"/>
      <c r="D31" s="375">
        <v>34</v>
      </c>
      <c r="E31" s="227"/>
      <c r="F31" s="229" t="s">
        <v>235</v>
      </c>
      <c r="G31" s="227"/>
      <c r="H31" s="361">
        <f>+Roundup</f>
        <v>0.39</v>
      </c>
      <c r="I31" s="12"/>
      <c r="J31" s="25">
        <f t="shared" si="0"/>
        <v>13.26</v>
      </c>
    </row>
    <row r="32" spans="2:10" ht="12.75">
      <c r="B32" s="23" t="s">
        <v>276</v>
      </c>
      <c r="C32" s="12"/>
      <c r="D32" s="375">
        <v>100</v>
      </c>
      <c r="E32" s="227"/>
      <c r="F32" s="229" t="s">
        <v>235</v>
      </c>
      <c r="G32" s="227"/>
      <c r="H32" s="361">
        <f>+UltraPro</f>
        <v>0.0234</v>
      </c>
      <c r="I32" s="12"/>
      <c r="J32" s="25">
        <f t="shared" si="0"/>
        <v>2.34</v>
      </c>
    </row>
    <row r="33" spans="2:10" ht="12.75">
      <c r="B33" s="23"/>
      <c r="C33" s="12"/>
      <c r="D33" s="375"/>
      <c r="E33" s="227"/>
      <c r="F33" s="229"/>
      <c r="G33" s="227"/>
      <c r="H33" s="361"/>
      <c r="I33" s="12"/>
      <c r="J33" s="21">
        <f t="shared" si="0"/>
        <v>0</v>
      </c>
    </row>
    <row r="34" spans="2:10" ht="5.25" customHeight="1">
      <c r="B34" s="12"/>
      <c r="C34" s="12"/>
      <c r="D34" s="227"/>
      <c r="E34" s="227"/>
      <c r="F34" s="228"/>
      <c r="G34" s="227"/>
      <c r="H34" s="219"/>
      <c r="I34" s="12"/>
      <c r="J34" s="25"/>
    </row>
    <row r="35" spans="2:10" ht="12.75">
      <c r="B35" s="12" t="s">
        <v>1</v>
      </c>
      <c r="C35" s="12"/>
      <c r="D35" s="230"/>
      <c r="E35" s="227"/>
      <c r="F35" s="228"/>
      <c r="G35" s="227"/>
      <c r="H35" s="219"/>
      <c r="I35" s="12"/>
      <c r="J35" s="26">
        <f>SUM(J36:J40)</f>
        <v>29.132021428571427</v>
      </c>
    </row>
    <row r="36" spans="2:10" ht="12.75">
      <c r="B36" s="23" t="s">
        <v>298</v>
      </c>
      <c r="C36" s="12"/>
      <c r="D36" s="362">
        <f>'Machine Costs'!$K$82</f>
        <v>3.6353999999999997</v>
      </c>
      <c r="E36" s="227"/>
      <c r="F36" s="229" t="s">
        <v>221</v>
      </c>
      <c r="G36" s="227"/>
      <c r="H36" s="361">
        <f>Diesel</f>
        <v>1.75</v>
      </c>
      <c r="I36" s="12"/>
      <c r="J36" s="25">
        <f>D36*H36</f>
        <v>6.361949999999999</v>
      </c>
    </row>
    <row r="37" spans="2:10" ht="12.75">
      <c r="B37" s="23" t="s">
        <v>220</v>
      </c>
      <c r="C37" s="12"/>
      <c r="D37" s="231">
        <v>1</v>
      </c>
      <c r="E37" s="227"/>
      <c r="F37" s="229" t="s">
        <v>303</v>
      </c>
      <c r="G37" s="227"/>
      <c r="H37" s="363">
        <f>'Machine Costs'!$L$82</f>
        <v>1.5615000000000003</v>
      </c>
      <c r="I37" s="12"/>
      <c r="J37" s="25">
        <f>D37*H37</f>
        <v>1.5615000000000003</v>
      </c>
    </row>
    <row r="38" spans="2:10" ht="12.75" customHeight="1">
      <c r="B38" s="39" t="s">
        <v>275</v>
      </c>
      <c r="C38" s="12"/>
      <c r="D38" s="232">
        <v>1</v>
      </c>
      <c r="E38" s="227"/>
      <c r="F38" s="233" t="s">
        <v>303</v>
      </c>
      <c r="G38" s="227"/>
      <c r="H38" s="363">
        <f>'Machine Costs'!$G$82</f>
        <v>6.489999999999999</v>
      </c>
      <c r="I38" s="12"/>
      <c r="J38" s="25">
        <f>D38*H38</f>
        <v>6.489999999999999</v>
      </c>
    </row>
    <row r="39" spans="2:10" ht="12.75">
      <c r="B39" s="39" t="s">
        <v>193</v>
      </c>
      <c r="C39" s="12"/>
      <c r="D39" s="362">
        <f>'Machine Costs'!$I$82</f>
        <v>0.7359285714285713</v>
      </c>
      <c r="E39" s="227"/>
      <c r="F39" s="229" t="s">
        <v>303</v>
      </c>
      <c r="G39" s="227"/>
      <c r="H39" s="361">
        <f>HourlyMachineLabor</f>
        <v>20</v>
      </c>
      <c r="I39" s="12"/>
      <c r="J39" s="25">
        <f>D39*H39</f>
        <v>14.718571428571426</v>
      </c>
    </row>
    <row r="40" spans="2:10" ht="12.75">
      <c r="B40" s="39"/>
      <c r="C40" s="12"/>
      <c r="D40" s="231"/>
      <c r="E40" s="227"/>
      <c r="F40" s="229"/>
      <c r="G40" s="227"/>
      <c r="H40" s="154"/>
      <c r="I40" s="12"/>
      <c r="J40" s="25">
        <f>D40*H40</f>
        <v>0</v>
      </c>
    </row>
    <row r="41" spans="2:10" ht="4.5" customHeight="1">
      <c r="B41" s="12"/>
      <c r="C41" s="12"/>
      <c r="D41" s="227"/>
      <c r="E41" s="227"/>
      <c r="F41" s="228"/>
      <c r="G41" s="227"/>
      <c r="H41" s="219"/>
      <c r="I41" s="12"/>
      <c r="J41" s="25"/>
    </row>
    <row r="42" spans="2:10" ht="12.75">
      <c r="B42" s="12" t="s">
        <v>241</v>
      </c>
      <c r="C42" s="12"/>
      <c r="D42" s="230"/>
      <c r="E42" s="227"/>
      <c r="F42" s="228"/>
      <c r="G42" s="227"/>
      <c r="H42" s="219"/>
      <c r="I42" s="12"/>
      <c r="J42" s="26">
        <f>SUM(J43:J45)</f>
        <v>6.25</v>
      </c>
    </row>
    <row r="43" spans="2:10" ht="12.75">
      <c r="B43" s="23" t="s">
        <v>268</v>
      </c>
      <c r="C43" s="12"/>
      <c r="D43" s="375">
        <v>3</v>
      </c>
      <c r="E43" s="227"/>
      <c r="F43" s="229" t="s">
        <v>303</v>
      </c>
      <c r="G43" s="227"/>
      <c r="H43" s="361">
        <f>+RentalSprayer</f>
        <v>1.75</v>
      </c>
      <c r="I43" s="12"/>
      <c r="J43" s="25">
        <f>D43*H43</f>
        <v>5.25</v>
      </c>
    </row>
    <row r="44" spans="2:10" ht="12.75">
      <c r="B44" s="23" t="s">
        <v>205</v>
      </c>
      <c r="C44" s="12"/>
      <c r="D44" s="375">
        <v>1</v>
      </c>
      <c r="E44" s="227"/>
      <c r="F44" s="229" t="s">
        <v>303</v>
      </c>
      <c r="G44" s="227"/>
      <c r="H44" s="361">
        <f>+FertilizerApplicator</f>
        <v>1</v>
      </c>
      <c r="I44" s="12"/>
      <c r="J44" s="25">
        <f>D44*H44</f>
        <v>1</v>
      </c>
    </row>
    <row r="45" spans="2:10" ht="12.75">
      <c r="B45" s="23"/>
      <c r="C45" s="12"/>
      <c r="D45" s="375"/>
      <c r="E45" s="227"/>
      <c r="F45" s="229"/>
      <c r="G45" s="227"/>
      <c r="H45" s="361"/>
      <c r="I45" s="12"/>
      <c r="J45" s="21">
        <f>D45*H45</f>
        <v>0</v>
      </c>
    </row>
    <row r="46" spans="2:10" ht="4.5" customHeight="1">
      <c r="B46" s="12"/>
      <c r="C46" s="12"/>
      <c r="D46" s="227"/>
      <c r="E46" s="227"/>
      <c r="F46" s="228"/>
      <c r="G46" s="227"/>
      <c r="H46" s="219"/>
      <c r="I46" s="12"/>
      <c r="J46" s="25"/>
    </row>
    <row r="47" spans="2:10" ht="12.75">
      <c r="B47" s="12" t="s">
        <v>242</v>
      </c>
      <c r="C47" s="12"/>
      <c r="D47" s="227"/>
      <c r="E47" s="227"/>
      <c r="F47" s="228"/>
      <c r="G47" s="227"/>
      <c r="H47" s="219"/>
      <c r="I47" s="12"/>
      <c r="J47" s="26">
        <f>SUM(J48:J50)</f>
        <v>4.83</v>
      </c>
    </row>
    <row r="48" spans="2:10" ht="14.25">
      <c r="B48" s="23" t="s">
        <v>65</v>
      </c>
      <c r="C48" s="12"/>
      <c r="D48" s="231">
        <v>1</v>
      </c>
      <c r="E48" s="227"/>
      <c r="F48" s="229" t="s">
        <v>303</v>
      </c>
      <c r="G48" s="227"/>
      <c r="H48" s="364">
        <v>4.83</v>
      </c>
      <c r="I48" s="12"/>
      <c r="J48" s="25">
        <f>D48*H48</f>
        <v>4.83</v>
      </c>
    </row>
    <row r="49" spans="2:10" ht="12.75">
      <c r="B49" s="39" t="s">
        <v>2</v>
      </c>
      <c r="C49" s="12"/>
      <c r="D49" s="215"/>
      <c r="E49" s="227"/>
      <c r="F49" s="229"/>
      <c r="G49" s="227"/>
      <c r="H49" s="216"/>
      <c r="I49" s="12"/>
      <c r="J49" s="25">
        <f>D49*H49</f>
        <v>0</v>
      </c>
    </row>
    <row r="50" spans="2:10" ht="12.75">
      <c r="B50" s="39" t="s">
        <v>194</v>
      </c>
      <c r="C50" s="12"/>
      <c r="D50" s="231"/>
      <c r="E50" s="227"/>
      <c r="F50" s="229"/>
      <c r="G50" s="227"/>
      <c r="H50" s="154"/>
      <c r="I50" s="12"/>
      <c r="J50" s="25">
        <f>D50*H50</f>
        <v>0</v>
      </c>
    </row>
    <row r="51" spans="2:10" ht="4.5" customHeight="1">
      <c r="B51" s="12"/>
      <c r="C51" s="12"/>
      <c r="D51" s="227"/>
      <c r="E51" s="227"/>
      <c r="F51" s="228"/>
      <c r="G51" s="227"/>
      <c r="H51" s="227"/>
      <c r="I51" s="12"/>
      <c r="J51" s="25"/>
    </row>
    <row r="52" spans="2:10" ht="14.25">
      <c r="B52" s="12" t="s">
        <v>10</v>
      </c>
      <c r="C52" s="12"/>
      <c r="D52" s="51"/>
      <c r="E52" s="12"/>
      <c r="F52" s="13"/>
      <c r="G52" s="12"/>
      <c r="H52" s="51"/>
      <c r="I52" s="12"/>
      <c r="J52" s="25">
        <f>(J18+J21+J27+J35+J42+J47)*0.05</f>
        <v>6.172601071428572</v>
      </c>
    </row>
    <row r="53" spans="2:10" ht="14.25">
      <c r="B53" s="12" t="s">
        <v>11</v>
      </c>
      <c r="C53" s="12"/>
      <c r="D53" s="51"/>
      <c r="E53" s="12"/>
      <c r="F53" s="13"/>
      <c r="G53" s="12"/>
      <c r="H53" s="51"/>
      <c r="I53" s="12"/>
      <c r="J53" s="25">
        <f>+(J18+J21+J27+J35+J42+J47)*operloan*0.5</f>
        <v>4.629450803571428</v>
      </c>
    </row>
    <row r="54" spans="2:10" ht="5.25" customHeight="1">
      <c r="B54" s="12"/>
      <c r="C54" s="12"/>
      <c r="D54" s="51"/>
      <c r="E54" s="12"/>
      <c r="F54" s="13"/>
      <c r="G54" s="12"/>
      <c r="H54" s="51"/>
      <c r="I54" s="12"/>
      <c r="J54" s="25"/>
    </row>
    <row r="55" spans="2:10" ht="12.75">
      <c r="B55" s="64" t="s">
        <v>203</v>
      </c>
      <c r="C55" s="64"/>
      <c r="D55" s="81"/>
      <c r="E55" s="64"/>
      <c r="F55" s="65"/>
      <c r="G55" s="64"/>
      <c r="H55" s="81"/>
      <c r="I55" s="64"/>
      <c r="J55" s="66">
        <f>SUM(J18:J53)-(J18+J21+J27+J35+J42+J47)</f>
        <v>134.2540733035715</v>
      </c>
    </row>
    <row r="56" spans="2:10" ht="12.75">
      <c r="B56" s="12" t="s">
        <v>204</v>
      </c>
      <c r="C56" s="12"/>
      <c r="D56" s="51"/>
      <c r="E56" s="12"/>
      <c r="F56" s="13"/>
      <c r="G56" s="12"/>
      <c r="H56" s="51"/>
      <c r="I56" s="12"/>
      <c r="J56" s="25">
        <f>J55/D14</f>
        <v>89.50271553571433</v>
      </c>
    </row>
    <row r="57" spans="2:10" ht="5.25" customHeight="1">
      <c r="B57" s="12"/>
      <c r="C57" s="12"/>
      <c r="D57" s="51"/>
      <c r="E57" s="12"/>
      <c r="F57" s="13"/>
      <c r="G57" s="12"/>
      <c r="H57" s="51"/>
      <c r="I57" s="12"/>
      <c r="J57" s="25"/>
    </row>
    <row r="58" spans="1:32" s="54" customFormat="1" ht="12.75">
      <c r="A58" s="53"/>
      <c r="B58" s="60" t="s">
        <v>70</v>
      </c>
      <c r="C58" s="60"/>
      <c r="D58" s="80"/>
      <c r="E58" s="60"/>
      <c r="F58" s="61"/>
      <c r="G58" s="60"/>
      <c r="H58" s="80"/>
      <c r="I58" s="60"/>
      <c r="J58" s="62">
        <f>J14-J55</f>
        <v>26.245926696428512</v>
      </c>
      <c r="K58" s="53"/>
      <c r="L58" s="53"/>
      <c r="M58" s="53"/>
      <c r="N58" s="53"/>
      <c r="O58" s="53"/>
      <c r="P58" s="53"/>
      <c r="Q58" s="53"/>
      <c r="R58" s="53"/>
      <c r="S58" s="53"/>
      <c r="T58" s="53"/>
      <c r="U58" s="53"/>
      <c r="V58" s="53"/>
      <c r="W58" s="53"/>
      <c r="X58" s="53"/>
      <c r="Y58" s="53"/>
      <c r="Z58" s="53"/>
      <c r="AA58" s="53"/>
      <c r="AB58" s="53"/>
      <c r="AC58" s="53"/>
      <c r="AD58" s="53"/>
      <c r="AE58" s="53"/>
      <c r="AF58" s="53"/>
    </row>
    <row r="59" spans="2:10" ht="21" customHeight="1">
      <c r="B59" s="11" t="s">
        <v>71</v>
      </c>
      <c r="C59" s="12"/>
      <c r="D59" s="51"/>
      <c r="E59" s="12"/>
      <c r="F59" s="13"/>
      <c r="G59" s="12"/>
      <c r="H59" s="51"/>
      <c r="I59" s="12"/>
      <c r="J59" s="222"/>
    </row>
    <row r="60" spans="2:10" ht="12.75">
      <c r="B60" s="49" t="s">
        <v>119</v>
      </c>
      <c r="C60" s="51"/>
      <c r="D60" s="51"/>
      <c r="E60" s="12"/>
      <c r="F60" s="13"/>
      <c r="G60" s="12"/>
      <c r="H60" s="51"/>
      <c r="I60" s="12"/>
      <c r="J60" s="365">
        <f>'Machine Costs'!$D$82</f>
        <v>10.602857142857145</v>
      </c>
    </row>
    <row r="61" spans="2:10" ht="12.75">
      <c r="B61" s="23" t="s">
        <v>120</v>
      </c>
      <c r="C61" s="51"/>
      <c r="D61" s="51"/>
      <c r="E61" s="12"/>
      <c r="F61" s="13"/>
      <c r="G61" s="12"/>
      <c r="H61" s="51"/>
      <c r="I61" s="12"/>
      <c r="J61" s="365">
        <f>'Machine Costs'!$E$82</f>
        <v>9.127142857142855</v>
      </c>
    </row>
    <row r="62" spans="2:10" ht="12.75">
      <c r="B62" s="23" t="s">
        <v>343</v>
      </c>
      <c r="C62" s="23"/>
      <c r="D62" s="50"/>
      <c r="E62" s="12"/>
      <c r="F62" s="13"/>
      <c r="G62" s="12"/>
      <c r="H62" s="51"/>
      <c r="I62" s="12"/>
      <c r="J62" s="365">
        <f>'Machine Costs'!$F$82</f>
        <v>2.3234285714285714</v>
      </c>
    </row>
    <row r="63" spans="2:10" ht="12.75">
      <c r="B63" s="23" t="s">
        <v>212</v>
      </c>
      <c r="C63" s="12"/>
      <c r="D63" s="50">
        <v>1</v>
      </c>
      <c r="E63" s="12"/>
      <c r="F63" s="24" t="s">
        <v>303</v>
      </c>
      <c r="G63" s="12"/>
      <c r="H63" s="154">
        <f>(D14*H14)*D65-(+J21+J27+J48)*D65-J69</f>
        <v>23.169900000000005</v>
      </c>
      <c r="I63" s="12"/>
      <c r="J63" s="366">
        <f>+H63</f>
        <v>23.169900000000005</v>
      </c>
    </row>
    <row r="64" spans="2:10" ht="12.75" customHeight="1">
      <c r="B64" s="12" t="s">
        <v>213</v>
      </c>
      <c r="C64" s="12"/>
      <c r="D64" s="51"/>
      <c r="E64" s="12"/>
      <c r="F64" s="13"/>
      <c r="G64" s="12"/>
      <c r="H64" s="51"/>
      <c r="I64" s="12"/>
      <c r="J64" s="221"/>
    </row>
    <row r="65" spans="2:10" ht="12.75" customHeight="1">
      <c r="B65" s="12" t="s">
        <v>214</v>
      </c>
      <c r="C65" s="12"/>
      <c r="D65" s="367">
        <f>ownershare</f>
        <v>0.33</v>
      </c>
      <c r="E65" s="12"/>
      <c r="F65" s="13"/>
      <c r="G65" s="12"/>
      <c r="H65" s="83"/>
      <c r="I65" s="12"/>
      <c r="J65" s="221"/>
    </row>
    <row r="66" spans="2:10" ht="12.75" customHeight="1">
      <c r="B66" s="12" t="s">
        <v>215</v>
      </c>
      <c r="C66" s="12"/>
      <c r="D66" s="367">
        <f>opershare</f>
        <v>0.67</v>
      </c>
      <c r="E66" s="12"/>
      <c r="F66" s="13"/>
      <c r="G66" s="12"/>
      <c r="H66" s="83"/>
      <c r="I66" s="12"/>
      <c r="J66" s="221"/>
    </row>
    <row r="67" spans="2:10" ht="12.75">
      <c r="B67" s="68"/>
      <c r="C67" s="68"/>
      <c r="D67" s="86"/>
      <c r="E67" s="68"/>
      <c r="F67" s="86"/>
      <c r="G67" s="12"/>
      <c r="H67" s="51"/>
      <c r="I67" s="12"/>
      <c r="J67" s="221"/>
    </row>
    <row r="68" spans="2:33" ht="12.75">
      <c r="B68" s="63" t="s">
        <v>297</v>
      </c>
      <c r="C68" s="51"/>
      <c r="D68" s="51"/>
      <c r="E68" s="12"/>
      <c r="F68" s="13"/>
      <c r="G68" s="12"/>
      <c r="H68" s="51"/>
      <c r="I68" s="12"/>
      <c r="J68" s="368">
        <f>+cashrent</f>
        <v>0</v>
      </c>
      <c r="K68"/>
      <c r="AG68" s="46"/>
    </row>
    <row r="69" spans="2:10" ht="12.75">
      <c r="B69" s="63" t="s">
        <v>260</v>
      </c>
      <c r="C69" s="51"/>
      <c r="D69" s="51"/>
      <c r="E69" s="12"/>
      <c r="F69" s="13"/>
      <c r="G69" s="12"/>
      <c r="H69" s="51"/>
      <c r="I69" s="12"/>
      <c r="J69" s="368">
        <f>LandTax</f>
        <v>3.9</v>
      </c>
    </row>
    <row r="70" spans="2:10" ht="5.25" customHeight="1">
      <c r="B70" s="12"/>
      <c r="C70" s="12"/>
      <c r="D70" s="51"/>
      <c r="E70" s="12"/>
      <c r="F70" s="13"/>
      <c r="G70" s="12"/>
      <c r="H70" s="51"/>
      <c r="I70" s="12"/>
      <c r="J70" s="25"/>
    </row>
    <row r="71" spans="2:10" ht="12.75">
      <c r="B71" s="64" t="s">
        <v>72</v>
      </c>
      <c r="C71" s="64"/>
      <c r="D71" s="81"/>
      <c r="E71" s="64"/>
      <c r="F71" s="65"/>
      <c r="G71" s="64"/>
      <c r="H71" s="81"/>
      <c r="I71" s="64"/>
      <c r="J71" s="66">
        <f>SUM(J59:J69)</f>
        <v>49.12332857142858</v>
      </c>
    </row>
    <row r="72" spans="2:10" ht="12.75">
      <c r="B72" s="12" t="s">
        <v>73</v>
      </c>
      <c r="C72" s="12"/>
      <c r="D72" s="51"/>
      <c r="E72" s="12"/>
      <c r="F72" s="13"/>
      <c r="G72" s="12"/>
      <c r="H72" s="51"/>
      <c r="I72" s="12"/>
      <c r="J72" s="25">
        <f>J71/D14</f>
        <v>32.74888571428572</v>
      </c>
    </row>
    <row r="73" spans="2:10" ht="12.75">
      <c r="B73" s="12"/>
      <c r="C73" s="12"/>
      <c r="D73" s="51"/>
      <c r="E73" s="12"/>
      <c r="F73" s="13"/>
      <c r="G73" s="12"/>
      <c r="H73" s="51"/>
      <c r="I73" s="12"/>
      <c r="J73" s="25"/>
    </row>
    <row r="74" spans="2:10" ht="12.75">
      <c r="B74" s="64" t="s">
        <v>318</v>
      </c>
      <c r="C74" s="64"/>
      <c r="D74" s="81"/>
      <c r="E74" s="64"/>
      <c r="F74" s="65"/>
      <c r="G74" s="64"/>
      <c r="H74" s="81"/>
      <c r="I74" s="64"/>
      <c r="J74" s="66">
        <f>J55+J71</f>
        <v>183.37740187500006</v>
      </c>
    </row>
    <row r="75" spans="1:32" s="71" customFormat="1" ht="12.75">
      <c r="A75" s="73"/>
      <c r="B75" s="74" t="s">
        <v>319</v>
      </c>
      <c r="C75" s="74"/>
      <c r="D75" s="87"/>
      <c r="E75" s="74"/>
      <c r="F75" s="75"/>
      <c r="G75" s="74"/>
      <c r="H75" s="87"/>
      <c r="I75" s="74"/>
      <c r="J75" s="76">
        <f>J74/D14</f>
        <v>122.25160125000004</v>
      </c>
      <c r="K75" s="73"/>
      <c r="L75" s="73"/>
      <c r="M75" s="73"/>
      <c r="N75" s="73"/>
      <c r="O75" s="73"/>
      <c r="P75" s="73"/>
      <c r="Q75" s="73"/>
      <c r="R75" s="73"/>
      <c r="S75" s="73"/>
      <c r="T75" s="73"/>
      <c r="U75" s="73"/>
      <c r="V75" s="73"/>
      <c r="W75" s="73"/>
      <c r="X75" s="73"/>
      <c r="Y75" s="73"/>
      <c r="Z75" s="73"/>
      <c r="AA75" s="73"/>
      <c r="AB75" s="73"/>
      <c r="AC75" s="73"/>
      <c r="AD75" s="73"/>
      <c r="AE75" s="73"/>
      <c r="AF75" s="73"/>
    </row>
    <row r="76" spans="2:10" ht="12.75">
      <c r="B76" s="12"/>
      <c r="C76" s="12"/>
      <c r="D76" s="51"/>
      <c r="E76" s="12"/>
      <c r="F76" s="13"/>
      <c r="G76" s="12"/>
      <c r="H76" s="51"/>
      <c r="I76" s="12"/>
      <c r="J76" s="25"/>
    </row>
    <row r="77" spans="1:32" s="54" customFormat="1" ht="12.75">
      <c r="A77" s="53"/>
      <c r="B77" s="64" t="s">
        <v>326</v>
      </c>
      <c r="C77" s="64"/>
      <c r="D77" s="81"/>
      <c r="E77" s="64"/>
      <c r="F77" s="65"/>
      <c r="G77" s="64"/>
      <c r="H77" s="81"/>
      <c r="I77" s="64"/>
      <c r="J77" s="66">
        <f>J14-J74</f>
        <v>-22.87740187500006</v>
      </c>
      <c r="K77" s="53"/>
      <c r="L77" s="53"/>
      <c r="M77" s="53"/>
      <c r="N77" s="53"/>
      <c r="O77" s="53"/>
      <c r="P77" s="53"/>
      <c r="Q77" s="53"/>
      <c r="R77" s="53"/>
      <c r="S77" s="53"/>
      <c r="T77" s="53"/>
      <c r="U77" s="53"/>
      <c r="V77" s="53"/>
      <c r="W77" s="53"/>
      <c r="X77" s="53"/>
      <c r="Y77" s="53"/>
      <c r="Z77" s="53"/>
      <c r="AA77" s="53"/>
      <c r="AB77" s="53"/>
      <c r="AC77" s="53"/>
      <c r="AD77" s="53"/>
      <c r="AE77" s="53"/>
      <c r="AF77" s="53"/>
    </row>
    <row r="78" spans="1:32" s="54" customFormat="1" ht="12.75">
      <c r="A78" s="53"/>
      <c r="B78" s="60"/>
      <c r="C78" s="60"/>
      <c r="D78" s="80"/>
      <c r="E78" s="60"/>
      <c r="F78" s="61"/>
      <c r="G78" s="60"/>
      <c r="H78" s="80"/>
      <c r="I78" s="60"/>
      <c r="J78" s="62"/>
      <c r="K78" s="53"/>
      <c r="L78" s="53"/>
      <c r="M78" s="53"/>
      <c r="N78" s="53"/>
      <c r="O78" s="53"/>
      <c r="P78" s="53"/>
      <c r="Q78" s="53"/>
      <c r="R78" s="53"/>
      <c r="S78" s="53"/>
      <c r="T78" s="53"/>
      <c r="U78" s="53"/>
      <c r="V78" s="53"/>
      <c r="W78" s="53"/>
      <c r="X78" s="53"/>
      <c r="Y78" s="53"/>
      <c r="Z78" s="53"/>
      <c r="AA78" s="53"/>
      <c r="AB78" s="53"/>
      <c r="AC78" s="53"/>
      <c r="AD78" s="53"/>
      <c r="AE78" s="53"/>
      <c r="AF78" s="53"/>
    </row>
    <row r="79" spans="2:10" ht="12.75">
      <c r="B79" s="70" t="s">
        <v>327</v>
      </c>
      <c r="C79" s="70"/>
      <c r="D79" s="89"/>
      <c r="E79" s="70"/>
      <c r="F79" s="89"/>
      <c r="G79" s="70"/>
      <c r="H79" s="89"/>
      <c r="I79" s="70"/>
      <c r="J79" s="70"/>
    </row>
    <row r="80" spans="2:10" ht="15" customHeight="1">
      <c r="B80" s="438" t="s">
        <v>37</v>
      </c>
      <c r="C80" s="439"/>
      <c r="D80" s="439"/>
      <c r="E80" s="439"/>
      <c r="F80" s="439"/>
      <c r="G80" s="439"/>
      <c r="H80" s="439"/>
      <c r="I80" s="439"/>
      <c r="J80" s="439"/>
    </row>
    <row r="81" spans="2:10" ht="15" customHeight="1">
      <c r="B81" s="214" t="s">
        <v>12</v>
      </c>
      <c r="C81" s="55"/>
      <c r="D81" s="82"/>
      <c r="E81" s="55"/>
      <c r="F81" s="67"/>
      <c r="G81" s="55"/>
      <c r="H81" s="82"/>
      <c r="I81" s="55"/>
      <c r="J81" s="55"/>
    </row>
    <row r="82" spans="2:10" ht="19.5" customHeight="1">
      <c r="B82" s="403" t="s">
        <v>19</v>
      </c>
      <c r="C82" s="214"/>
      <c r="D82" s="214"/>
      <c r="E82" s="214"/>
      <c r="F82" s="214"/>
      <c r="G82" s="214"/>
      <c r="H82" s="214"/>
      <c r="I82" s="214"/>
      <c r="J82" s="214"/>
    </row>
    <row r="83" spans="2:10" ht="15" customHeight="1">
      <c r="B83" s="450" t="s">
        <v>33</v>
      </c>
      <c r="C83" s="451"/>
      <c r="D83" s="451"/>
      <c r="E83" s="451"/>
      <c r="F83" s="451"/>
      <c r="G83" s="451"/>
      <c r="H83" s="451"/>
      <c r="I83" s="451"/>
      <c r="J83" s="451"/>
    </row>
    <row r="84" spans="2:10" ht="15" customHeight="1">
      <c r="B84" s="452" t="s">
        <v>35</v>
      </c>
      <c r="C84" s="453"/>
      <c r="D84" s="453"/>
      <c r="E84" s="453"/>
      <c r="F84" s="453"/>
      <c r="G84" s="453"/>
      <c r="H84" s="453"/>
      <c r="I84" s="453"/>
      <c r="J84" s="453"/>
    </row>
    <row r="85" spans="2:10" ht="12.75">
      <c r="B85" s="12"/>
      <c r="C85" s="12"/>
      <c r="D85" s="51"/>
      <c r="E85" s="12"/>
      <c r="F85" s="13"/>
      <c r="G85" s="12"/>
      <c r="H85" s="51"/>
      <c r="I85" s="12"/>
      <c r="J85" s="12"/>
    </row>
    <row r="86" spans="2:10" ht="12" customHeight="1">
      <c r="B86" s="28" t="s">
        <v>328</v>
      </c>
      <c r="C86" s="12"/>
      <c r="D86" s="29" t="s">
        <v>329</v>
      </c>
      <c r="E86" s="12"/>
      <c r="F86" s="13"/>
      <c r="G86" s="12"/>
      <c r="H86" s="29" t="s">
        <v>331</v>
      </c>
      <c r="I86" s="12"/>
      <c r="J86" s="12"/>
    </row>
    <row r="87" spans="2:10" ht="12" customHeight="1">
      <c r="B87" s="12"/>
      <c r="C87" s="12"/>
      <c r="D87" s="30">
        <v>0.1</v>
      </c>
      <c r="E87" s="12"/>
      <c r="F87" s="13" t="s">
        <v>330</v>
      </c>
      <c r="G87" s="12"/>
      <c r="H87" s="30">
        <v>0.1</v>
      </c>
      <c r="I87" s="12"/>
      <c r="J87" s="12"/>
    </row>
    <row r="88" spans="2:10" ht="12.75">
      <c r="B88" s="12"/>
      <c r="C88" s="12"/>
      <c r="D88" s="31"/>
      <c r="E88" s="8"/>
      <c r="F88" s="7" t="s">
        <v>332</v>
      </c>
      <c r="G88" s="8"/>
      <c r="H88" s="31"/>
      <c r="I88" s="12"/>
      <c r="J88" s="12"/>
    </row>
    <row r="89" spans="2:10" ht="12" customHeight="1">
      <c r="B89" s="32" t="s">
        <v>301</v>
      </c>
      <c r="C89" s="12"/>
      <c r="D89" s="198">
        <f>F89*(1-D87)</f>
        <v>1.35</v>
      </c>
      <c r="E89" s="33"/>
      <c r="F89" s="34">
        <f>D14</f>
        <v>1.5</v>
      </c>
      <c r="G89" s="33"/>
      <c r="H89" s="88">
        <f>F89*(1+H87)</f>
        <v>1.6500000000000001</v>
      </c>
      <c r="I89" s="12"/>
      <c r="J89" s="12"/>
    </row>
    <row r="90" spans="2:10" ht="3" customHeight="1">
      <c r="B90" s="12"/>
      <c r="C90" s="12"/>
      <c r="D90" s="51"/>
      <c r="E90" s="12"/>
      <c r="F90" s="13"/>
      <c r="G90" s="12"/>
      <c r="H90" s="51"/>
      <c r="I90" s="12"/>
      <c r="J90" s="12"/>
    </row>
    <row r="91" spans="2:10" ht="12" customHeight="1">
      <c r="B91" s="12" t="s">
        <v>300</v>
      </c>
      <c r="C91" s="12"/>
      <c r="D91" s="35">
        <f>$J$55/D89</f>
        <v>99.44746170634924</v>
      </c>
      <c r="E91" s="12"/>
      <c r="F91" s="35">
        <f>$J$55/F89</f>
        <v>89.50271553571433</v>
      </c>
      <c r="G91" s="12"/>
      <c r="H91" s="35">
        <f>$J$55/H89</f>
        <v>81.36610503246756</v>
      </c>
      <c r="I91" s="12"/>
      <c r="J91" s="12"/>
    </row>
    <row r="92" spans="2:10" ht="3" customHeight="1">
      <c r="B92" s="12"/>
      <c r="C92" s="12"/>
      <c r="D92" s="51"/>
      <c r="E92" s="12"/>
      <c r="F92" s="13"/>
      <c r="G92" s="12"/>
      <c r="H92" s="51"/>
      <c r="I92" s="12"/>
      <c r="J92" s="12"/>
    </row>
    <row r="93" spans="2:10" ht="12" customHeight="1">
      <c r="B93" s="12" t="s">
        <v>252</v>
      </c>
      <c r="C93" s="12"/>
      <c r="D93" s="35">
        <f>$J$71/D89</f>
        <v>36.3876507936508</v>
      </c>
      <c r="E93" s="12"/>
      <c r="F93" s="35">
        <f>$J$71/F89</f>
        <v>32.74888571428572</v>
      </c>
      <c r="G93" s="12"/>
      <c r="H93" s="35">
        <f>$J$71/H89</f>
        <v>29.77171428571429</v>
      </c>
      <c r="I93" s="12"/>
      <c r="J93" s="12"/>
    </row>
    <row r="94" spans="2:10" ht="3" customHeight="1">
      <c r="B94" s="12"/>
      <c r="C94" s="12"/>
      <c r="D94" s="51"/>
      <c r="E94" s="12"/>
      <c r="F94" s="13"/>
      <c r="G94" s="12"/>
      <c r="H94" s="51"/>
      <c r="I94" s="12"/>
      <c r="J94" s="12"/>
    </row>
    <row r="95" spans="2:10" ht="12.75">
      <c r="B95" s="12" t="s">
        <v>253</v>
      </c>
      <c r="C95" s="12"/>
      <c r="D95" s="35">
        <f>$J$74/D89</f>
        <v>135.83511250000004</v>
      </c>
      <c r="E95" s="12"/>
      <c r="F95" s="35">
        <f>$J$74/F89</f>
        <v>122.25160125000004</v>
      </c>
      <c r="G95" s="12"/>
      <c r="H95" s="35">
        <f>$J$74/H89</f>
        <v>111.13781931818184</v>
      </c>
      <c r="I95" s="12"/>
      <c r="J95" s="12"/>
    </row>
    <row r="96" spans="2:10" ht="5.25" customHeight="1">
      <c r="B96" s="16"/>
      <c r="C96" s="16"/>
      <c r="D96" s="84"/>
      <c r="E96" s="16"/>
      <c r="F96" s="20"/>
      <c r="G96" s="16"/>
      <c r="H96" s="84"/>
      <c r="I96" s="16"/>
      <c r="J96" s="16"/>
    </row>
    <row r="97" spans="2:10" ht="12.75" customHeight="1">
      <c r="B97" s="12"/>
      <c r="C97" s="12"/>
      <c r="D97" s="29" t="s">
        <v>329</v>
      </c>
      <c r="E97" s="12"/>
      <c r="F97" s="13"/>
      <c r="G97" s="12"/>
      <c r="H97" s="29" t="s">
        <v>331</v>
      </c>
      <c r="I97" s="12"/>
      <c r="J97" s="12"/>
    </row>
    <row r="98" spans="2:10" ht="12.75" customHeight="1">
      <c r="B98" s="12"/>
      <c r="C98" s="12"/>
      <c r="D98" s="30">
        <v>0.1</v>
      </c>
      <c r="E98" s="12"/>
      <c r="F98" s="13" t="s">
        <v>330</v>
      </c>
      <c r="G98" s="12"/>
      <c r="H98" s="30">
        <v>0.1</v>
      </c>
      <c r="I98" s="12"/>
      <c r="J98" s="12"/>
    </row>
    <row r="99" spans="2:10" ht="12.75">
      <c r="B99" s="12"/>
      <c r="C99" s="12"/>
      <c r="D99" s="7"/>
      <c r="E99" s="8"/>
      <c r="F99" s="9" t="s">
        <v>301</v>
      </c>
      <c r="G99" s="8"/>
      <c r="H99" s="7"/>
      <c r="I99" s="12"/>
      <c r="J99" s="12"/>
    </row>
    <row r="100" spans="2:10" ht="12" customHeight="1">
      <c r="B100" s="32" t="s">
        <v>332</v>
      </c>
      <c r="C100" s="12"/>
      <c r="D100" s="36">
        <f>F100*(1-D87)</f>
        <v>96.3</v>
      </c>
      <c r="E100" s="33"/>
      <c r="F100" s="37">
        <f>H14</f>
        <v>107</v>
      </c>
      <c r="G100" s="33"/>
      <c r="H100" s="36">
        <f>F100*(1+H87)</f>
        <v>117.7</v>
      </c>
      <c r="I100" s="12"/>
      <c r="J100" s="12"/>
    </row>
    <row r="101" spans="2:10" ht="3" customHeight="1">
      <c r="B101" s="12"/>
      <c r="C101" s="12"/>
      <c r="D101" s="51"/>
      <c r="E101" s="12"/>
      <c r="F101" s="13"/>
      <c r="G101" s="12"/>
      <c r="H101" s="51"/>
      <c r="I101" s="12"/>
      <c r="J101" s="12"/>
    </row>
    <row r="102" spans="2:10" ht="12" customHeight="1">
      <c r="B102" s="12" t="s">
        <v>300</v>
      </c>
      <c r="C102" s="12"/>
      <c r="D102" s="38">
        <f>$J$55/D100</f>
        <v>1.3941232949488214</v>
      </c>
      <c r="E102" s="12"/>
      <c r="F102" s="38">
        <f>$J$55/F100</f>
        <v>1.2547109654539392</v>
      </c>
      <c r="G102" s="12"/>
      <c r="H102" s="38">
        <f>$J$55/H100</f>
        <v>1.1406463322308538</v>
      </c>
      <c r="I102" s="12"/>
      <c r="J102" s="12"/>
    </row>
    <row r="103" spans="2:10" ht="3" customHeight="1">
      <c r="B103" s="12"/>
      <c r="C103" s="12"/>
      <c r="D103" s="51"/>
      <c r="E103" s="12"/>
      <c r="F103" s="13"/>
      <c r="G103" s="12"/>
      <c r="H103" s="51"/>
      <c r="I103" s="12"/>
      <c r="J103" s="12"/>
    </row>
    <row r="104" spans="2:10" ht="12" customHeight="1">
      <c r="B104" s="12" t="s">
        <v>252</v>
      </c>
      <c r="C104" s="12"/>
      <c r="D104" s="38">
        <f>$J$71/D100</f>
        <v>0.5101072541166</v>
      </c>
      <c r="E104" s="12"/>
      <c r="F104" s="38">
        <f>$J$71/F100</f>
        <v>0.45909652870494</v>
      </c>
      <c r="G104" s="12"/>
      <c r="H104" s="38">
        <f>$J$71/H100</f>
        <v>0.4173604806408545</v>
      </c>
      <c r="I104" s="12"/>
      <c r="J104" s="12"/>
    </row>
    <row r="105" spans="2:10" ht="3" customHeight="1">
      <c r="B105" s="12"/>
      <c r="C105" s="12"/>
      <c r="D105" s="51"/>
      <c r="E105" s="12"/>
      <c r="F105" s="13"/>
      <c r="G105" s="12"/>
      <c r="H105" s="51"/>
      <c r="I105" s="12"/>
      <c r="J105" s="12"/>
    </row>
    <row r="106" spans="2:10" ht="12.75">
      <c r="B106" s="12" t="s">
        <v>253</v>
      </c>
      <c r="C106" s="12"/>
      <c r="D106" s="38">
        <f>$J$74/D100</f>
        <v>1.9042305490654212</v>
      </c>
      <c r="E106" s="12"/>
      <c r="F106" s="38">
        <f>$J$74/F100</f>
        <v>1.713807494158879</v>
      </c>
      <c r="G106" s="12"/>
      <c r="H106" s="38">
        <f>$J$74/H100</f>
        <v>1.5580068128717082</v>
      </c>
      <c r="I106" s="12"/>
      <c r="J106" s="12"/>
    </row>
    <row r="107" spans="2:10" ht="12.75">
      <c r="B107" s="12"/>
      <c r="C107" s="12"/>
      <c r="D107" s="51"/>
      <c r="E107" s="12"/>
      <c r="F107" s="13"/>
      <c r="G107" s="12"/>
      <c r="H107" s="51"/>
      <c r="I107" s="12"/>
      <c r="J107" s="12"/>
    </row>
    <row r="108" spans="2:10" ht="12.75">
      <c r="B108" s="8"/>
      <c r="C108" s="8"/>
      <c r="D108" s="7"/>
      <c r="E108" s="8"/>
      <c r="F108" s="9"/>
      <c r="G108" s="8"/>
      <c r="H108" s="7"/>
      <c r="I108" s="8"/>
      <c r="J108" s="8"/>
    </row>
    <row r="109" spans="2:10" ht="12.75">
      <c r="B109" s="46"/>
      <c r="C109" s="46"/>
      <c r="D109" s="77"/>
      <c r="E109" s="46"/>
      <c r="F109" s="47"/>
      <c r="G109" s="46"/>
      <c r="H109" s="77"/>
      <c r="I109" s="46"/>
      <c r="J109" s="46"/>
    </row>
    <row r="110" spans="2:10" ht="12.75">
      <c r="B110" s="46"/>
      <c r="C110" s="46"/>
      <c r="D110" s="77"/>
      <c r="E110" s="46"/>
      <c r="F110" s="47"/>
      <c r="G110" s="46"/>
      <c r="H110" s="77"/>
      <c r="I110" s="46"/>
      <c r="J110" s="46"/>
    </row>
    <row r="111" spans="2:10" ht="12.75">
      <c r="B111" s="46"/>
      <c r="C111" s="46"/>
      <c r="D111" s="77"/>
      <c r="E111" s="46"/>
      <c r="F111" s="47"/>
      <c r="G111" s="46"/>
      <c r="H111" s="77"/>
      <c r="I111" s="46"/>
      <c r="J111" s="46"/>
    </row>
    <row r="112" spans="2:10" ht="12.75">
      <c r="B112" s="46"/>
      <c r="C112" s="46"/>
      <c r="D112" s="77"/>
      <c r="E112" s="46"/>
      <c r="F112" s="47"/>
      <c r="G112" s="46"/>
      <c r="H112" s="77"/>
      <c r="I112" s="46"/>
      <c r="J112" s="46"/>
    </row>
    <row r="113" spans="2:10" ht="12.75">
      <c r="B113" s="46"/>
      <c r="C113" s="46"/>
      <c r="D113" s="77"/>
      <c r="E113" s="46"/>
      <c r="F113" s="47"/>
      <c r="G113" s="46"/>
      <c r="H113" s="77"/>
      <c r="I113" s="46"/>
      <c r="J113" s="46"/>
    </row>
    <row r="114" spans="2:10" ht="12.75">
      <c r="B114" s="46"/>
      <c r="C114" s="46"/>
      <c r="D114" s="77"/>
      <c r="E114" s="46"/>
      <c r="F114" s="47"/>
      <c r="G114" s="46"/>
      <c r="H114" s="77"/>
      <c r="I114" s="46"/>
      <c r="J114" s="46"/>
    </row>
    <row r="115" spans="2:10" ht="12.75">
      <c r="B115" s="46"/>
      <c r="C115" s="46"/>
      <c r="D115" s="77"/>
      <c r="E115" s="46"/>
      <c r="F115" s="47"/>
      <c r="G115" s="46"/>
      <c r="H115" s="77"/>
      <c r="I115" s="46"/>
      <c r="J115" s="46"/>
    </row>
    <row r="116" spans="2:10" ht="12.75">
      <c r="B116" s="46"/>
      <c r="C116" s="46"/>
      <c r="D116" s="77"/>
      <c r="E116" s="46"/>
      <c r="F116" s="47"/>
      <c r="G116" s="46"/>
      <c r="H116" s="77"/>
      <c r="I116" s="46"/>
      <c r="J116" s="46"/>
    </row>
    <row r="117" spans="2:10" ht="12.75">
      <c r="B117" s="46"/>
      <c r="C117" s="46"/>
      <c r="D117" s="77"/>
      <c r="E117" s="46"/>
      <c r="F117" s="47"/>
      <c r="G117" s="46"/>
      <c r="H117" s="77"/>
      <c r="I117" s="46"/>
      <c r="J117" s="46"/>
    </row>
    <row r="118" spans="2:10" ht="12.75">
      <c r="B118" s="46"/>
      <c r="C118" s="46"/>
      <c r="D118" s="77"/>
      <c r="E118" s="46"/>
      <c r="F118" s="47"/>
      <c r="G118" s="46"/>
      <c r="H118" s="77"/>
      <c r="I118" s="46"/>
      <c r="J118" s="46"/>
    </row>
    <row r="119" spans="2:10" ht="12.75">
      <c r="B119" s="46"/>
      <c r="C119" s="46"/>
      <c r="D119" s="77"/>
      <c r="E119" s="46"/>
      <c r="F119" s="47"/>
      <c r="G119" s="46"/>
      <c r="H119" s="77"/>
      <c r="I119" s="46"/>
      <c r="J119" s="46"/>
    </row>
    <row r="120" spans="2:10" ht="12.75">
      <c r="B120" s="46"/>
      <c r="C120" s="46"/>
      <c r="D120" s="77"/>
      <c r="E120" s="46"/>
      <c r="F120" s="47"/>
      <c r="G120" s="46"/>
      <c r="H120" s="77"/>
      <c r="I120" s="46"/>
      <c r="J120" s="46"/>
    </row>
    <row r="121" spans="2:10" ht="12.75">
      <c r="B121" s="46"/>
      <c r="C121" s="46"/>
      <c r="D121" s="77"/>
      <c r="E121" s="46"/>
      <c r="F121" s="47"/>
      <c r="G121" s="46"/>
      <c r="H121" s="77"/>
      <c r="I121" s="46"/>
      <c r="J121" s="46"/>
    </row>
    <row r="122" spans="2:10" ht="12.75">
      <c r="B122" s="46"/>
      <c r="C122" s="46"/>
      <c r="D122" s="77"/>
      <c r="E122" s="46"/>
      <c r="F122" s="47"/>
      <c r="G122" s="46"/>
      <c r="H122" s="77"/>
      <c r="I122" s="46"/>
      <c r="J122" s="46"/>
    </row>
    <row r="123" spans="2:10" ht="12.75">
      <c r="B123" s="46"/>
      <c r="C123" s="46"/>
      <c r="D123" s="77"/>
      <c r="E123" s="46"/>
      <c r="F123" s="47"/>
      <c r="G123" s="46"/>
      <c r="H123" s="77"/>
      <c r="I123" s="46"/>
      <c r="J123" s="46"/>
    </row>
    <row r="124" spans="2:10" ht="12.75">
      <c r="B124" s="46"/>
      <c r="C124" s="46"/>
      <c r="D124" s="77"/>
      <c r="E124" s="46"/>
      <c r="F124" s="47"/>
      <c r="G124" s="46"/>
      <c r="H124" s="77"/>
      <c r="I124" s="46"/>
      <c r="J124" s="46"/>
    </row>
    <row r="125" spans="2:10" ht="12.75">
      <c r="B125" s="46"/>
      <c r="C125" s="46"/>
      <c r="D125" s="77"/>
      <c r="E125" s="46"/>
      <c r="F125" s="47"/>
      <c r="G125" s="46"/>
      <c r="H125" s="77"/>
      <c r="I125" s="46"/>
      <c r="J125" s="46"/>
    </row>
    <row r="126" spans="2:10" ht="12.75">
      <c r="B126" s="46"/>
      <c r="C126" s="46"/>
      <c r="D126" s="77"/>
      <c r="E126" s="46"/>
      <c r="F126" s="47"/>
      <c r="G126" s="46"/>
      <c r="H126" s="77"/>
      <c r="I126" s="46"/>
      <c r="J126" s="46"/>
    </row>
    <row r="127" spans="2:10" ht="12.75">
      <c r="B127" s="46"/>
      <c r="C127" s="46"/>
      <c r="D127" s="77"/>
      <c r="E127" s="46"/>
      <c r="F127" s="47"/>
      <c r="G127" s="46"/>
      <c r="H127" s="77"/>
      <c r="I127" s="46"/>
      <c r="J127" s="46"/>
    </row>
    <row r="128" spans="2:10" ht="12.75">
      <c r="B128" s="46"/>
      <c r="C128" s="46"/>
      <c r="D128" s="77"/>
      <c r="E128" s="46"/>
      <c r="F128" s="47"/>
      <c r="G128" s="46"/>
      <c r="H128" s="77"/>
      <c r="I128" s="46"/>
      <c r="J128" s="46"/>
    </row>
    <row r="129" spans="2:10" ht="12.75">
      <c r="B129" s="46"/>
      <c r="C129" s="46"/>
      <c r="D129" s="77"/>
      <c r="E129" s="46"/>
      <c r="F129" s="47"/>
      <c r="G129" s="46"/>
      <c r="H129" s="77"/>
      <c r="I129" s="46"/>
      <c r="J129" s="46"/>
    </row>
    <row r="130" spans="2:10" ht="12.75">
      <c r="B130" s="46"/>
      <c r="C130" s="46"/>
      <c r="D130" s="77"/>
      <c r="E130" s="46"/>
      <c r="F130" s="47"/>
      <c r="G130" s="46"/>
      <c r="H130" s="77"/>
      <c r="I130" s="46"/>
      <c r="J130" s="46"/>
    </row>
    <row r="131" spans="2:10" ht="12.75">
      <c r="B131" s="46"/>
      <c r="C131" s="46"/>
      <c r="D131" s="77"/>
      <c r="E131" s="46"/>
      <c r="F131" s="47"/>
      <c r="G131" s="46"/>
      <c r="H131" s="77"/>
      <c r="I131" s="46"/>
      <c r="J131" s="46"/>
    </row>
    <row r="132" spans="2:10" ht="12.75">
      <c r="B132" s="46"/>
      <c r="C132" s="46"/>
      <c r="D132" s="77"/>
      <c r="E132" s="46"/>
      <c r="F132" s="47"/>
      <c r="G132" s="46"/>
      <c r="H132" s="77"/>
      <c r="I132" s="46"/>
      <c r="J132" s="46"/>
    </row>
    <row r="133" spans="2:10" ht="12.75">
      <c r="B133" s="46"/>
      <c r="C133" s="46"/>
      <c r="D133" s="77"/>
      <c r="E133" s="46"/>
      <c r="F133" s="47"/>
      <c r="G133" s="46"/>
      <c r="H133" s="77"/>
      <c r="I133" s="46"/>
      <c r="J133" s="46"/>
    </row>
    <row r="134" spans="2:10" ht="12.75">
      <c r="B134" s="46"/>
      <c r="C134" s="46"/>
      <c r="D134" s="77"/>
      <c r="E134" s="46"/>
      <c r="F134" s="47"/>
      <c r="G134" s="46"/>
      <c r="H134" s="77"/>
      <c r="I134" s="46"/>
      <c r="J134" s="46"/>
    </row>
    <row r="135" spans="2:10" ht="12.75">
      <c r="B135" s="46"/>
      <c r="C135" s="46"/>
      <c r="D135" s="77"/>
      <c r="E135" s="46"/>
      <c r="F135" s="47"/>
      <c r="G135" s="46"/>
      <c r="H135" s="77"/>
      <c r="I135" s="46"/>
      <c r="J135" s="46"/>
    </row>
    <row r="136" spans="2:10" ht="12.75">
      <c r="B136" s="46"/>
      <c r="C136" s="46"/>
      <c r="D136" s="77"/>
      <c r="E136" s="46"/>
      <c r="F136" s="47"/>
      <c r="G136" s="46"/>
      <c r="H136" s="77"/>
      <c r="I136" s="46"/>
      <c r="J136" s="46"/>
    </row>
    <row r="137" spans="4:33" s="46" customFormat="1" ht="12.75">
      <c r="D137" s="77"/>
      <c r="F137" s="47"/>
      <c r="H137" s="77"/>
      <c r="AG137"/>
    </row>
    <row r="138" spans="4:33" s="46" customFormat="1" ht="12.75">
      <c r="D138" s="77"/>
      <c r="F138" s="47"/>
      <c r="H138" s="77"/>
      <c r="AG138"/>
    </row>
    <row r="139" spans="4:33" s="46" customFormat="1" ht="12.75">
      <c r="D139" s="77"/>
      <c r="F139" s="47"/>
      <c r="H139" s="77"/>
      <c r="AG139"/>
    </row>
    <row r="140" spans="4:33" s="46" customFormat="1" ht="12.75">
      <c r="D140" s="77"/>
      <c r="F140" s="47"/>
      <c r="H140" s="77"/>
      <c r="AG140"/>
    </row>
    <row r="141" spans="4:33" s="46" customFormat="1" ht="12.75">
      <c r="D141" s="77"/>
      <c r="F141" s="47"/>
      <c r="H141" s="77"/>
      <c r="AG141"/>
    </row>
    <row r="142" spans="4:33" s="46" customFormat="1" ht="12.75">
      <c r="D142" s="77"/>
      <c r="F142" s="47"/>
      <c r="H142" s="77"/>
      <c r="AG142"/>
    </row>
    <row r="143" spans="4:33" s="46" customFormat="1" ht="12.75">
      <c r="D143" s="77"/>
      <c r="F143" s="47"/>
      <c r="H143" s="77"/>
      <c r="AG143"/>
    </row>
    <row r="144" spans="4:33" s="46" customFormat="1" ht="12.75">
      <c r="D144" s="77"/>
      <c r="F144" s="47"/>
      <c r="H144" s="77"/>
      <c r="AG144"/>
    </row>
    <row r="145" spans="4:33" s="46" customFormat="1" ht="12.75">
      <c r="D145" s="77"/>
      <c r="F145" s="47"/>
      <c r="H145" s="77"/>
      <c r="AG145"/>
    </row>
    <row r="146" spans="4:33" s="46" customFormat="1" ht="12.75">
      <c r="D146" s="77"/>
      <c r="F146" s="47"/>
      <c r="H146" s="77"/>
      <c r="AG146"/>
    </row>
    <row r="147" spans="4:8" s="46" customFormat="1" ht="12.75">
      <c r="D147" s="77"/>
      <c r="F147" s="47"/>
      <c r="H147" s="77"/>
    </row>
    <row r="148" spans="4:8" s="46" customFormat="1" ht="12.75">
      <c r="D148" s="77"/>
      <c r="F148" s="47"/>
      <c r="H148" s="77"/>
    </row>
    <row r="149" spans="4:8" s="46" customFormat="1" ht="12.75">
      <c r="D149" s="77"/>
      <c r="F149" s="47"/>
      <c r="H149" s="77"/>
    </row>
    <row r="150" spans="4:8" s="46" customFormat="1" ht="12.75">
      <c r="D150" s="77"/>
      <c r="F150" s="47"/>
      <c r="H150" s="77"/>
    </row>
    <row r="151" spans="2:10" ht="12.75">
      <c r="B151" s="46"/>
      <c r="C151" s="46"/>
      <c r="D151" s="77"/>
      <c r="E151" s="46"/>
      <c r="F151" s="47"/>
      <c r="G151" s="46"/>
      <c r="H151" s="77"/>
      <c r="I151" s="46"/>
      <c r="J151" s="46"/>
    </row>
    <row r="152" spans="2:10" ht="12.75">
      <c r="B152" s="46"/>
      <c r="C152" s="46"/>
      <c r="D152" s="77"/>
      <c r="E152" s="46"/>
      <c r="F152" s="47"/>
      <c r="G152" s="46"/>
      <c r="H152" s="77"/>
      <c r="I152" s="46"/>
      <c r="J152" s="46"/>
    </row>
    <row r="153" spans="2:10" ht="12.75">
      <c r="B153" s="46"/>
      <c r="C153" s="46"/>
      <c r="D153" s="77"/>
      <c r="E153" s="46"/>
      <c r="F153" s="47"/>
      <c r="G153" s="46"/>
      <c r="H153" s="77"/>
      <c r="I153" s="46"/>
      <c r="J153" s="46"/>
    </row>
    <row r="154" spans="2:10" ht="12.75">
      <c r="B154" s="46"/>
      <c r="C154" s="46"/>
      <c r="D154" s="77"/>
      <c r="E154" s="46"/>
      <c r="F154" s="47"/>
      <c r="G154" s="46"/>
      <c r="H154" s="77"/>
      <c r="I154" s="46"/>
      <c r="J154" s="46"/>
    </row>
    <row r="155" spans="2:10" ht="12.75">
      <c r="B155" s="46"/>
      <c r="C155" s="46"/>
      <c r="D155" s="77"/>
      <c r="E155" s="46"/>
      <c r="F155" s="47"/>
      <c r="G155" s="46"/>
      <c r="H155" s="77"/>
      <c r="I155" s="46"/>
      <c r="J155" s="46"/>
    </row>
  </sheetData>
  <sheetProtection/>
  <mergeCells count="8">
    <mergeCell ref="B83:J83"/>
    <mergeCell ref="B84:J84"/>
    <mergeCell ref="B80:J80"/>
    <mergeCell ref="B2:J2"/>
    <mergeCell ref="B3:J3"/>
    <mergeCell ref="B4:J4"/>
    <mergeCell ref="B5:J5"/>
    <mergeCell ref="B6:J6"/>
  </mergeCells>
  <hyperlinks>
    <hyperlink ref="B84:J84" location="SBMC" display="Spring Barley Machinery Costs table."/>
  </hyperlinks>
  <printOptions horizontalCentered="1"/>
  <pageMargins left="0.75" right="0.75" top="1" bottom="1" header="0.5" footer="0.5"/>
  <pageSetup orientation="portrait" scale="98" r:id="rId1"/>
  <headerFooter alignWithMargins="0">
    <oddFooter>&amp;L&amp;A&amp;C&amp;F&amp;R&amp;D</oddFooter>
  </headerFooter>
  <rowBreaks count="1" manualBreakCount="1">
    <brk id="58" min="1" max="9" man="1"/>
  </rowBreaks>
  <ignoredErrors>
    <ignoredError sqref="J25:J56" emptyCellReference="1"/>
  </ignoredErrors>
</worksheet>
</file>

<file path=xl/worksheets/sheet11.xml><?xml version="1.0" encoding="utf-8"?>
<worksheet xmlns="http://schemas.openxmlformats.org/spreadsheetml/2006/main" xmlns:r="http://schemas.openxmlformats.org/officeDocument/2006/relationships">
  <sheetPr codeName="Sheet8"/>
  <dimension ref="B1:E48"/>
  <sheetViews>
    <sheetView zoomScalePageLayoutView="0" workbookViewId="0" topLeftCell="A1">
      <selection activeCell="C28" sqref="C28"/>
    </sheetView>
  </sheetViews>
  <sheetFormatPr defaultColWidth="11.421875" defaultRowHeight="12.75"/>
  <cols>
    <col min="1" max="1" width="4.28125" style="46" customWidth="1"/>
    <col min="2" max="2" width="11.00390625" style="0" customWidth="1"/>
    <col min="3" max="3" width="20.140625" style="0" customWidth="1"/>
    <col min="4" max="4" width="31.7109375" style="0" customWidth="1"/>
    <col min="5" max="5" width="41.140625" style="0" customWidth="1"/>
    <col min="6" max="18" width="11.421875" style="46" customWidth="1"/>
  </cols>
  <sheetData>
    <row r="1" spans="2:5" ht="12.75">
      <c r="B1" s="46"/>
      <c r="C1" s="46"/>
      <c r="D1" s="46"/>
      <c r="E1" s="46"/>
    </row>
    <row r="2" spans="2:5" ht="24" customHeight="1">
      <c r="B2" s="342" t="s">
        <v>100</v>
      </c>
      <c r="C2" s="358"/>
      <c r="D2" s="358"/>
      <c r="E2" s="358"/>
    </row>
    <row r="3" spans="2:5" ht="6" customHeight="1">
      <c r="B3" s="356"/>
      <c r="C3" s="357"/>
      <c r="D3" s="357"/>
      <c r="E3" s="357"/>
    </row>
    <row r="4" spans="2:5" ht="33" customHeight="1">
      <c r="B4" s="359" t="s">
        <v>222</v>
      </c>
      <c r="C4" s="359" t="s">
        <v>224</v>
      </c>
      <c r="D4" s="359" t="s">
        <v>226</v>
      </c>
      <c r="E4" s="359" t="s">
        <v>227</v>
      </c>
    </row>
    <row r="5" spans="2:5" ht="15">
      <c r="B5" s="58"/>
      <c r="C5" s="58"/>
      <c r="D5" s="58"/>
      <c r="E5" s="58"/>
    </row>
    <row r="6" spans="2:5" ht="12.75">
      <c r="B6" s="56" t="s">
        <v>95</v>
      </c>
      <c r="C6" s="56" t="s">
        <v>96</v>
      </c>
      <c r="D6" s="56" t="s">
        <v>191</v>
      </c>
      <c r="E6" s="57"/>
    </row>
    <row r="7" spans="2:5" ht="12.75">
      <c r="B7" s="44"/>
      <c r="C7" s="44"/>
      <c r="D7" s="44"/>
      <c r="E7" s="44" t="s">
        <v>263</v>
      </c>
    </row>
    <row r="8" spans="2:5" ht="12.75">
      <c r="B8" s="10" t="s">
        <v>95</v>
      </c>
      <c r="C8" s="10" t="s">
        <v>232</v>
      </c>
      <c r="D8" s="10" t="s">
        <v>188</v>
      </c>
      <c r="E8" s="10" t="s">
        <v>93</v>
      </c>
    </row>
    <row r="9" spans="2:5" ht="12.75">
      <c r="B9" s="45"/>
      <c r="C9" s="45"/>
      <c r="D9" s="45"/>
      <c r="E9" s="45" t="s">
        <v>94</v>
      </c>
    </row>
    <row r="10" spans="2:5" ht="12.75">
      <c r="B10" s="8" t="s">
        <v>225</v>
      </c>
      <c r="C10" s="8" t="s">
        <v>232</v>
      </c>
      <c r="D10" s="8" t="s">
        <v>188</v>
      </c>
      <c r="E10" s="8" t="s">
        <v>264</v>
      </c>
    </row>
    <row r="11" spans="2:5" ht="12.75">
      <c r="B11" s="14"/>
      <c r="C11" s="44"/>
      <c r="D11" s="14"/>
      <c r="E11" s="44" t="s">
        <v>305</v>
      </c>
    </row>
    <row r="12" spans="2:5" ht="12.75">
      <c r="B12" s="14" t="s">
        <v>265</v>
      </c>
      <c r="C12" s="14" t="s">
        <v>266</v>
      </c>
      <c r="D12" s="69" t="s">
        <v>258</v>
      </c>
      <c r="E12" s="14" t="s">
        <v>351</v>
      </c>
    </row>
    <row r="13" spans="2:5" ht="12.75">
      <c r="B13" s="45"/>
      <c r="C13" s="45"/>
      <c r="D13" s="45"/>
      <c r="E13" s="45"/>
    </row>
    <row r="14" spans="2:5" ht="12.75">
      <c r="B14" s="8" t="s">
        <v>233</v>
      </c>
      <c r="C14" s="8" t="s">
        <v>89</v>
      </c>
      <c r="D14" s="8"/>
      <c r="E14" s="8"/>
    </row>
    <row r="15" spans="2:5" ht="12.75">
      <c r="B15" s="44"/>
      <c r="C15" s="44"/>
      <c r="D15" s="44"/>
      <c r="E15" s="44" t="s">
        <v>267</v>
      </c>
    </row>
    <row r="16" spans="2:5" ht="12.75">
      <c r="B16" s="10" t="s">
        <v>265</v>
      </c>
      <c r="C16" s="10" t="s">
        <v>232</v>
      </c>
      <c r="D16" s="10" t="s">
        <v>188</v>
      </c>
      <c r="E16" s="10" t="s">
        <v>277</v>
      </c>
    </row>
    <row r="17" spans="2:5" ht="12" customHeight="1">
      <c r="B17" s="45"/>
      <c r="C17" s="45"/>
      <c r="D17" s="45"/>
      <c r="E17" s="45"/>
    </row>
    <row r="18" spans="2:5" ht="12" customHeight="1">
      <c r="B18" s="8" t="s">
        <v>223</v>
      </c>
      <c r="C18" s="8" t="s">
        <v>228</v>
      </c>
      <c r="D18" s="8" t="s">
        <v>333</v>
      </c>
      <c r="E18" s="8"/>
    </row>
    <row r="19" spans="2:5" ht="12.75">
      <c r="B19" s="46"/>
      <c r="C19" s="46"/>
      <c r="D19" s="46"/>
      <c r="E19" s="46"/>
    </row>
    <row r="20" spans="2:5" ht="12.75">
      <c r="B20" s="46"/>
      <c r="C20" s="46"/>
      <c r="D20" s="46"/>
      <c r="E20" s="46"/>
    </row>
    <row r="21" spans="2:5" ht="12.75">
      <c r="B21" s="46"/>
      <c r="C21" s="46"/>
      <c r="D21" s="46"/>
      <c r="E21" s="46"/>
    </row>
    <row r="22" spans="2:5" ht="12.75">
      <c r="B22" s="46"/>
      <c r="C22" s="46"/>
      <c r="D22" s="46"/>
      <c r="E22" s="46"/>
    </row>
    <row r="23" spans="2:5" ht="12.75">
      <c r="B23" s="46"/>
      <c r="C23" s="46"/>
      <c r="D23" s="46"/>
      <c r="E23" s="46"/>
    </row>
    <row r="24" spans="2:5" ht="12.75">
      <c r="B24" s="46"/>
      <c r="C24" s="46"/>
      <c r="D24" s="46"/>
      <c r="E24" s="46"/>
    </row>
    <row r="25" spans="2:5" ht="12.75">
      <c r="B25" s="46"/>
      <c r="C25" s="46"/>
      <c r="D25" s="46"/>
      <c r="E25" s="46"/>
    </row>
    <row r="26" spans="2:5" ht="12.75">
      <c r="B26" s="46"/>
      <c r="C26" s="46"/>
      <c r="D26" s="46"/>
      <c r="E26" s="46"/>
    </row>
    <row r="27" spans="2:5" ht="12.75">
      <c r="B27" s="46"/>
      <c r="C27" s="46"/>
      <c r="D27" s="46"/>
      <c r="E27" s="46"/>
    </row>
    <row r="28" spans="2:5" ht="12.75">
      <c r="B28" s="46"/>
      <c r="C28" s="46"/>
      <c r="D28" s="46"/>
      <c r="E28" s="46"/>
    </row>
    <row r="29" spans="2:5" ht="12.75">
      <c r="B29" s="46"/>
      <c r="C29" s="46"/>
      <c r="D29" s="46"/>
      <c r="E29" s="46"/>
    </row>
    <row r="30" spans="2:5" ht="12.75">
      <c r="B30" s="46"/>
      <c r="C30" s="46"/>
      <c r="D30" s="46"/>
      <c r="E30" s="46"/>
    </row>
    <row r="31" spans="2:5" ht="12.75">
      <c r="B31" s="46"/>
      <c r="C31" s="46"/>
      <c r="D31" s="46"/>
      <c r="E31" s="46"/>
    </row>
    <row r="32" spans="2:5" ht="12.75">
      <c r="B32" s="46"/>
      <c r="C32" s="46"/>
      <c r="D32" s="46"/>
      <c r="E32" s="46"/>
    </row>
    <row r="33" spans="2:5" ht="12.75">
      <c r="B33" s="46"/>
      <c r="C33" s="46"/>
      <c r="D33" s="46"/>
      <c r="E33" s="46"/>
    </row>
    <row r="34" spans="2:5" ht="12.75">
      <c r="B34" s="46"/>
      <c r="C34" s="46"/>
      <c r="D34" s="46"/>
      <c r="E34" s="46"/>
    </row>
    <row r="35" spans="2:5" ht="12.75">
      <c r="B35" s="46"/>
      <c r="C35" s="46"/>
      <c r="D35" s="46"/>
      <c r="E35" s="46"/>
    </row>
    <row r="36" spans="2:5" ht="12.75">
      <c r="B36" s="46"/>
      <c r="C36" s="46"/>
      <c r="D36" s="46"/>
      <c r="E36" s="46"/>
    </row>
    <row r="37" spans="2:5" ht="12.75">
      <c r="B37" s="46"/>
      <c r="C37" s="46"/>
      <c r="D37" s="46"/>
      <c r="E37" s="46"/>
    </row>
    <row r="38" spans="2:5" ht="12.75">
      <c r="B38" s="46"/>
      <c r="C38" s="46"/>
      <c r="D38" s="46"/>
      <c r="E38" s="46"/>
    </row>
    <row r="39" spans="2:5" ht="12.75">
      <c r="B39" s="46"/>
      <c r="C39" s="46"/>
      <c r="D39" s="46"/>
      <c r="E39" s="46"/>
    </row>
    <row r="40" spans="2:5" ht="12.75">
      <c r="B40" s="46"/>
      <c r="C40" s="46"/>
      <c r="D40" s="46"/>
      <c r="E40" s="46"/>
    </row>
    <row r="41" spans="2:5" ht="12.75">
      <c r="B41" s="46"/>
      <c r="C41" s="46"/>
      <c r="D41" s="46"/>
      <c r="E41" s="46"/>
    </row>
    <row r="42" spans="2:5" ht="12.75">
      <c r="B42" s="46"/>
      <c r="C42" s="46"/>
      <c r="D42" s="46"/>
      <c r="E42" s="46"/>
    </row>
    <row r="43" spans="2:5" ht="12.75">
      <c r="B43" s="46"/>
      <c r="C43" s="46"/>
      <c r="D43" s="46"/>
      <c r="E43" s="46"/>
    </row>
    <row r="44" spans="2:5" ht="12.75">
      <c r="B44" s="46"/>
      <c r="C44" s="46"/>
      <c r="D44" s="46"/>
      <c r="E44" s="46"/>
    </row>
    <row r="45" spans="2:5" ht="12.75">
      <c r="B45" s="46"/>
      <c r="C45" s="46"/>
      <c r="D45" s="46"/>
      <c r="E45" s="46"/>
    </row>
    <row r="46" spans="2:5" ht="12.75">
      <c r="B46" s="46"/>
      <c r="C46" s="46"/>
      <c r="D46" s="46"/>
      <c r="E46" s="46"/>
    </row>
    <row r="47" spans="2:5" ht="12.75">
      <c r="B47" s="46"/>
      <c r="C47" s="46"/>
      <c r="D47" s="46"/>
      <c r="E47" s="46"/>
    </row>
    <row r="48" spans="2:5" ht="12.75">
      <c r="B48" s="46"/>
      <c r="C48" s="46"/>
      <c r="D48" s="46"/>
      <c r="E48" s="46"/>
    </row>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sheetData>
  <sheetProtection/>
  <printOptions horizontalCentered="1"/>
  <pageMargins left="0.75" right="0.75" top="1" bottom="1" header="0.5" footer="0.5"/>
  <pageSetup orientation="portrait" scale="80"/>
  <headerFooter alignWithMargins="0">
    <oddFooter>&amp;L&amp;A&amp;C&amp;F&amp;R&amp;D</oddFooter>
  </headerFooter>
</worksheet>
</file>

<file path=xl/worksheets/sheet12.xml><?xml version="1.0" encoding="utf-8"?>
<worksheet xmlns="http://schemas.openxmlformats.org/spreadsheetml/2006/main" xmlns:r="http://schemas.openxmlformats.org/officeDocument/2006/relationships">
  <sheetPr codeName="Sheet9"/>
  <dimension ref="A1:AG157"/>
  <sheetViews>
    <sheetView zoomScalePageLayoutView="0" workbookViewId="0" topLeftCell="A1">
      <selection activeCell="D92" sqref="D92"/>
    </sheetView>
  </sheetViews>
  <sheetFormatPr defaultColWidth="8.7109375" defaultRowHeight="12.75"/>
  <cols>
    <col min="1" max="1" width="3.8515625" style="46" customWidth="1"/>
    <col min="2" max="2" width="27.140625" style="0" customWidth="1"/>
    <col min="3" max="3" width="2.00390625" style="0" customWidth="1"/>
    <col min="4" max="4" width="11.7109375" style="72" customWidth="1"/>
    <col min="5" max="5" width="1.1484375" style="0" customWidth="1"/>
    <col min="6" max="6" width="10.7109375" style="27" customWidth="1"/>
    <col min="7" max="7" width="1.421875" style="0" customWidth="1"/>
    <col min="8" max="8" width="10.7109375" style="72" customWidth="1"/>
    <col min="9" max="9" width="1.7109375" style="0" customWidth="1"/>
    <col min="10" max="10" width="20.140625" style="39" customWidth="1"/>
    <col min="11" max="32" width="8.7109375" style="46" customWidth="1"/>
  </cols>
  <sheetData>
    <row r="1" spans="4:8" s="46" customFormat="1" ht="12.75">
      <c r="D1" s="77"/>
      <c r="E1" s="103"/>
      <c r="F1" s="104"/>
      <c r="G1" s="103"/>
      <c r="H1" s="105"/>
    </row>
    <row r="2" spans="2:10" s="46" customFormat="1" ht="18" customHeight="1">
      <c r="B2" s="413" t="s">
        <v>335</v>
      </c>
      <c r="C2" s="430"/>
      <c r="D2" s="430"/>
      <c r="E2" s="430"/>
      <c r="F2" s="430"/>
      <c r="G2" s="430"/>
      <c r="H2" s="430"/>
      <c r="I2" s="430"/>
      <c r="J2" s="431"/>
    </row>
    <row r="3" spans="2:10" s="46" customFormat="1" ht="12.75">
      <c r="B3" s="416" t="s">
        <v>314</v>
      </c>
      <c r="C3" s="432"/>
      <c r="D3" s="432"/>
      <c r="E3" s="432"/>
      <c r="F3" s="432"/>
      <c r="G3" s="432"/>
      <c r="H3" s="432"/>
      <c r="I3" s="432"/>
      <c r="J3" s="433"/>
    </row>
    <row r="4" spans="2:10" s="46" customFormat="1" ht="12.75">
      <c r="B4" s="419" t="s">
        <v>5</v>
      </c>
      <c r="C4" s="434"/>
      <c r="D4" s="434"/>
      <c r="E4" s="434"/>
      <c r="F4" s="434"/>
      <c r="G4" s="434"/>
      <c r="H4" s="434"/>
      <c r="I4" s="434"/>
      <c r="J4" s="435"/>
    </row>
    <row r="5" spans="2:10" s="46" customFormat="1" ht="12.75">
      <c r="B5" s="422" t="s">
        <v>316</v>
      </c>
      <c r="C5" s="436"/>
      <c r="D5" s="436"/>
      <c r="E5" s="436"/>
      <c r="F5" s="436"/>
      <c r="G5" s="436"/>
      <c r="H5" s="436"/>
      <c r="I5" s="436"/>
      <c r="J5" s="437"/>
    </row>
    <row r="6" spans="1:10" s="46" customFormat="1" ht="12.75">
      <c r="A6" s="155"/>
      <c r="B6" s="425" t="s">
        <v>334</v>
      </c>
      <c r="C6" s="428"/>
      <c r="D6" s="428"/>
      <c r="E6" s="428"/>
      <c r="F6" s="428"/>
      <c r="G6" s="428"/>
      <c r="H6" s="428"/>
      <c r="I6" s="428"/>
      <c r="J6" s="429"/>
    </row>
    <row r="7" spans="4:8" s="46" customFormat="1" ht="12.75">
      <c r="D7" s="77"/>
      <c r="F7" s="47"/>
      <c r="H7" s="77"/>
    </row>
    <row r="8" spans="2:10" ht="31.5" customHeight="1">
      <c r="B8" s="454" t="s">
        <v>151</v>
      </c>
      <c r="C8" s="455"/>
      <c r="D8" s="455"/>
      <c r="E8" s="455"/>
      <c r="F8" s="455"/>
      <c r="G8" s="455"/>
      <c r="H8" s="455"/>
      <c r="I8" s="455"/>
      <c r="J8" s="455"/>
    </row>
    <row r="9" spans="1:32" s="41" customFormat="1" ht="3.75" customHeight="1">
      <c r="A9" s="46"/>
      <c r="B9" s="345"/>
      <c r="C9" s="345"/>
      <c r="D9" s="346"/>
      <c r="E9" s="345"/>
      <c r="F9" s="347"/>
      <c r="G9" s="345"/>
      <c r="H9" s="346"/>
      <c r="I9" s="345"/>
      <c r="J9" s="345"/>
      <c r="K9" s="46"/>
      <c r="L9" s="46"/>
      <c r="M9" s="46"/>
      <c r="N9" s="46"/>
      <c r="O9" s="46"/>
      <c r="P9" s="46"/>
      <c r="Q9" s="46"/>
      <c r="R9" s="46"/>
      <c r="S9" s="46"/>
      <c r="T9" s="46"/>
      <c r="U9" s="46"/>
      <c r="V9" s="46"/>
      <c r="W9" s="46"/>
      <c r="X9" s="46"/>
      <c r="Y9" s="46"/>
      <c r="Z9" s="46"/>
      <c r="AA9" s="46"/>
      <c r="AB9" s="46"/>
      <c r="AC9" s="46"/>
      <c r="AD9" s="46"/>
      <c r="AE9" s="46"/>
      <c r="AF9" s="46"/>
    </row>
    <row r="10" spans="2:10" ht="15">
      <c r="B10" s="2"/>
      <c r="C10" s="2"/>
      <c r="D10" s="3" t="s">
        <v>364</v>
      </c>
      <c r="E10" s="3"/>
      <c r="F10" s="4"/>
      <c r="G10" s="3"/>
      <c r="H10" s="3" t="s">
        <v>365</v>
      </c>
      <c r="I10" s="3"/>
      <c r="J10" s="5" t="s">
        <v>366</v>
      </c>
    </row>
    <row r="11" spans="2:10" ht="15">
      <c r="B11" s="6" t="s">
        <v>367</v>
      </c>
      <c r="C11" s="2"/>
      <c r="D11" s="3" t="s">
        <v>368</v>
      </c>
      <c r="E11" s="3"/>
      <c r="F11" s="4" t="s">
        <v>369</v>
      </c>
      <c r="G11" s="3"/>
      <c r="H11" s="3" t="s">
        <v>321</v>
      </c>
      <c r="I11" s="3"/>
      <c r="J11" s="5" t="s">
        <v>236</v>
      </c>
    </row>
    <row r="12" spans="2:10" ht="5.25" customHeight="1">
      <c r="B12" s="7"/>
      <c r="C12" s="8"/>
      <c r="D12" s="7"/>
      <c r="E12" s="8"/>
      <c r="F12" s="9"/>
      <c r="G12" s="8"/>
      <c r="H12" s="7"/>
      <c r="I12" s="8"/>
      <c r="J12" s="10"/>
    </row>
    <row r="13" spans="2:10" ht="12.75">
      <c r="B13" s="11" t="s">
        <v>237</v>
      </c>
      <c r="C13" s="12"/>
      <c r="D13" s="51"/>
      <c r="E13" s="12"/>
      <c r="F13" s="13"/>
      <c r="G13" s="12"/>
      <c r="H13" s="51"/>
      <c r="I13" s="12"/>
      <c r="J13" s="14"/>
    </row>
    <row r="14" spans="2:16" ht="12.75">
      <c r="B14" s="15" t="s">
        <v>183</v>
      </c>
      <c r="C14" s="16"/>
      <c r="D14" s="372">
        <f>Summary!E14</f>
        <v>42</v>
      </c>
      <c r="E14" s="84"/>
      <c r="F14" s="17" t="s">
        <v>180</v>
      </c>
      <c r="G14" s="84"/>
      <c r="H14" s="376">
        <f>Summary!F14</f>
        <v>6.34</v>
      </c>
      <c r="I14" s="16"/>
      <c r="J14" s="18">
        <f>D14*H14</f>
        <v>266.28</v>
      </c>
      <c r="L14" s="59"/>
      <c r="M14" s="59"/>
      <c r="N14" s="59"/>
      <c r="O14" s="59"/>
      <c r="P14" s="59"/>
    </row>
    <row r="15" spans="2:10" ht="12.75">
      <c r="B15" s="16"/>
      <c r="C15" s="16"/>
      <c r="D15" s="84"/>
      <c r="E15" s="84"/>
      <c r="F15" s="20"/>
      <c r="G15" s="84"/>
      <c r="H15" s="234"/>
      <c r="I15" s="16"/>
      <c r="J15" s="18"/>
    </row>
    <row r="16" spans="2:10" ht="12.75">
      <c r="B16" s="11" t="s">
        <v>30</v>
      </c>
      <c r="C16" s="12"/>
      <c r="D16" s="51"/>
      <c r="E16" s="51"/>
      <c r="F16" s="13"/>
      <c r="G16" s="51"/>
      <c r="H16" s="235"/>
      <c r="I16" s="12"/>
      <c r="J16" s="21"/>
    </row>
    <row r="17" spans="2:10" ht="4.5" customHeight="1">
      <c r="B17" s="12"/>
      <c r="C17" s="12"/>
      <c r="D17" s="51"/>
      <c r="E17" s="51"/>
      <c r="F17" s="13"/>
      <c r="G17" s="51"/>
      <c r="H17" s="235"/>
      <c r="I17" s="12"/>
      <c r="J17" s="21"/>
    </row>
    <row r="18" spans="2:10" ht="12.75">
      <c r="B18" s="12" t="s">
        <v>238</v>
      </c>
      <c r="C18" s="12"/>
      <c r="D18" s="51"/>
      <c r="E18" s="51"/>
      <c r="F18" s="13"/>
      <c r="G18" s="51"/>
      <c r="H18" s="235"/>
      <c r="I18" s="12"/>
      <c r="J18" s="22">
        <f>SUM(J19:J19)</f>
        <v>19.8</v>
      </c>
    </row>
    <row r="19" spans="2:10" ht="12.75">
      <c r="B19" s="23" t="s">
        <v>184</v>
      </c>
      <c r="C19" s="12"/>
      <c r="D19" s="360">
        <v>90</v>
      </c>
      <c r="E19" s="51"/>
      <c r="F19" s="24" t="s">
        <v>302</v>
      </c>
      <c r="G19" s="51"/>
      <c r="H19" s="377">
        <f>+HardRedWheatSeed</f>
        <v>0.22</v>
      </c>
      <c r="I19" s="12"/>
      <c r="J19" s="21">
        <f>D19*H19</f>
        <v>19.8</v>
      </c>
    </row>
    <row r="20" spans="2:10" ht="4.5" customHeight="1">
      <c r="B20" s="12"/>
      <c r="C20" s="12"/>
      <c r="D20" s="51"/>
      <c r="E20" s="51"/>
      <c r="F20" s="13"/>
      <c r="G20" s="51"/>
      <c r="H20" s="235"/>
      <c r="I20" s="12"/>
      <c r="J20" s="21"/>
    </row>
    <row r="21" spans="2:12" ht="12.75">
      <c r="B21" s="12" t="s">
        <v>239</v>
      </c>
      <c r="C21" s="12"/>
      <c r="D21" s="51"/>
      <c r="E21" s="51"/>
      <c r="F21" s="13"/>
      <c r="G21" s="51"/>
      <c r="H21" s="235"/>
      <c r="I21" s="12"/>
      <c r="J21" s="22">
        <f>SUM(J22:J25)</f>
        <v>55.8</v>
      </c>
      <c r="L21" s="48"/>
    </row>
    <row r="22" spans="2:10" ht="12.75">
      <c r="B22" s="23" t="s">
        <v>271</v>
      </c>
      <c r="C22" s="12"/>
      <c r="D22" s="360">
        <v>76</v>
      </c>
      <c r="E22" s="51"/>
      <c r="F22" s="24" t="s">
        <v>302</v>
      </c>
      <c r="G22" s="51"/>
      <c r="H22" s="377">
        <f>Nitrogen</f>
        <v>0.55</v>
      </c>
      <c r="I22" s="12"/>
      <c r="J22" s="25">
        <f>D22*H22</f>
        <v>41.800000000000004</v>
      </c>
    </row>
    <row r="23" spans="2:10" ht="12.75">
      <c r="B23" s="23" t="s">
        <v>317</v>
      </c>
      <c r="C23" s="12"/>
      <c r="D23" s="360">
        <v>10</v>
      </c>
      <c r="E23" s="51"/>
      <c r="F23" s="24" t="s">
        <v>302</v>
      </c>
      <c r="G23" s="51"/>
      <c r="H23" s="377">
        <f>Phosphorous</f>
        <v>1.17</v>
      </c>
      <c r="I23" s="12"/>
      <c r="J23" s="25">
        <f>D23*H23</f>
        <v>11.7</v>
      </c>
    </row>
    <row r="24" spans="2:10" ht="12.75">
      <c r="B24" s="23" t="s">
        <v>211</v>
      </c>
      <c r="C24" s="12"/>
      <c r="D24" s="360">
        <v>10</v>
      </c>
      <c r="E24" s="51">
        <v>5</v>
      </c>
      <c r="F24" s="24" t="s">
        <v>302</v>
      </c>
      <c r="G24" s="51"/>
      <c r="H24" s="377">
        <f>Sulfur</f>
        <v>0.23</v>
      </c>
      <c r="I24" s="12"/>
      <c r="J24" s="21">
        <f>D24*H24</f>
        <v>2.3000000000000003</v>
      </c>
    </row>
    <row r="25" spans="2:10" ht="12.75">
      <c r="B25" s="23"/>
      <c r="C25" s="12"/>
      <c r="D25" s="360"/>
      <c r="E25" s="51"/>
      <c r="F25" s="24"/>
      <c r="G25" s="51"/>
      <c r="H25" s="377"/>
      <c r="I25" s="12"/>
      <c r="J25" s="21">
        <f>D25*H25</f>
        <v>0</v>
      </c>
    </row>
    <row r="26" spans="2:10" ht="4.5" customHeight="1">
      <c r="B26" s="12"/>
      <c r="C26" s="12"/>
      <c r="D26" s="51"/>
      <c r="E26" s="51"/>
      <c r="F26" s="13"/>
      <c r="G26" s="51"/>
      <c r="H26" s="235"/>
      <c r="I26" s="12"/>
      <c r="J26" s="25"/>
    </row>
    <row r="27" spans="2:10" ht="12.75">
      <c r="B27" s="12" t="s">
        <v>240</v>
      </c>
      <c r="C27" s="12"/>
      <c r="D27" s="51"/>
      <c r="E27" s="51"/>
      <c r="F27" s="13"/>
      <c r="G27" s="51"/>
      <c r="H27" s="235"/>
      <c r="I27" s="12"/>
      <c r="J27" s="26">
        <f>SUM(J28:J34)</f>
        <v>25.3</v>
      </c>
    </row>
    <row r="28" spans="2:10" ht="12.75">
      <c r="B28" s="23" t="s">
        <v>229</v>
      </c>
      <c r="C28" s="12"/>
      <c r="D28" s="360">
        <v>8</v>
      </c>
      <c r="E28" s="51"/>
      <c r="F28" s="24" t="s">
        <v>235</v>
      </c>
      <c r="G28" s="51"/>
      <c r="H28" s="377">
        <f>+DPesticide</f>
        <v>0.16</v>
      </c>
      <c r="I28" s="12"/>
      <c r="J28" s="25">
        <f aca="true" t="shared" si="0" ref="J28:J34">D28*H28</f>
        <v>1.28</v>
      </c>
    </row>
    <row r="29" spans="2:10" ht="12.75">
      <c r="B29" s="23" t="s">
        <v>206</v>
      </c>
      <c r="C29" s="12"/>
      <c r="D29" s="360">
        <v>0.1</v>
      </c>
      <c r="E29" s="51"/>
      <c r="F29" s="24" t="s">
        <v>207</v>
      </c>
      <c r="G29" s="51"/>
      <c r="H29" s="377">
        <f>+Ally</f>
        <v>10</v>
      </c>
      <c r="I29" s="12"/>
      <c r="J29" s="25">
        <f t="shared" si="0"/>
        <v>1</v>
      </c>
    </row>
    <row r="30" spans="2:10" ht="12.75">
      <c r="B30" s="23" t="s">
        <v>182</v>
      </c>
      <c r="C30" s="12"/>
      <c r="D30" s="360">
        <v>1</v>
      </c>
      <c r="E30" s="51"/>
      <c r="F30" s="24" t="s">
        <v>135</v>
      </c>
      <c r="G30" s="51"/>
      <c r="H30" s="377">
        <f>+Bronate</f>
        <v>7.68</v>
      </c>
      <c r="I30" s="12"/>
      <c r="J30" s="25">
        <f t="shared" si="0"/>
        <v>7.68</v>
      </c>
    </row>
    <row r="31" spans="2:10" ht="12.75">
      <c r="B31" s="23" t="s">
        <v>277</v>
      </c>
      <c r="C31" s="12"/>
      <c r="D31" s="360">
        <v>10.4</v>
      </c>
      <c r="E31" s="51"/>
      <c r="F31" s="24" t="s">
        <v>235</v>
      </c>
      <c r="G31" s="51"/>
      <c r="H31" s="377">
        <f>+Excel</f>
        <v>0.2</v>
      </c>
      <c r="I31" s="12"/>
      <c r="J31" s="25">
        <f t="shared" si="0"/>
        <v>2.08</v>
      </c>
    </row>
    <row r="32" spans="2:10" ht="12.75">
      <c r="B32" s="23" t="s">
        <v>231</v>
      </c>
      <c r="C32" s="12"/>
      <c r="D32" s="360">
        <v>28</v>
      </c>
      <c r="E32" s="51"/>
      <c r="F32" s="24" t="s">
        <v>235</v>
      </c>
      <c r="G32" s="51"/>
      <c r="H32" s="377">
        <f>+Roundup</f>
        <v>0.39</v>
      </c>
      <c r="I32" s="12"/>
      <c r="J32" s="25">
        <f t="shared" si="0"/>
        <v>10.92</v>
      </c>
    </row>
    <row r="33" spans="2:10" ht="12.75">
      <c r="B33" s="23" t="s">
        <v>276</v>
      </c>
      <c r="C33" s="12"/>
      <c r="D33" s="360">
        <v>100</v>
      </c>
      <c r="E33" s="51"/>
      <c r="F33" s="24" t="s">
        <v>235</v>
      </c>
      <c r="G33" s="51"/>
      <c r="H33" s="377">
        <f>+UltraPro</f>
        <v>0.0234</v>
      </c>
      <c r="I33" s="12"/>
      <c r="J33" s="25">
        <f t="shared" si="0"/>
        <v>2.34</v>
      </c>
    </row>
    <row r="34" spans="2:10" ht="12.75">
      <c r="B34" s="23"/>
      <c r="C34" s="12"/>
      <c r="D34" s="360"/>
      <c r="E34" s="51"/>
      <c r="F34" s="24"/>
      <c r="G34" s="51"/>
      <c r="H34" s="377"/>
      <c r="I34" s="12"/>
      <c r="J34" s="21">
        <f t="shared" si="0"/>
        <v>0</v>
      </c>
    </row>
    <row r="35" spans="2:10" ht="5.25" customHeight="1">
      <c r="B35" s="12"/>
      <c r="C35" s="12"/>
      <c r="D35" s="78"/>
      <c r="E35" s="51"/>
      <c r="F35" s="13"/>
      <c r="G35" s="51"/>
      <c r="H35" s="235"/>
      <c r="I35" s="12"/>
      <c r="J35" s="25"/>
    </row>
    <row r="36" spans="2:10" ht="12.75">
      <c r="B36" s="12" t="s">
        <v>1</v>
      </c>
      <c r="C36" s="12"/>
      <c r="D36" s="85"/>
      <c r="E36" s="51"/>
      <c r="F36" s="13"/>
      <c r="G36" s="51"/>
      <c r="H36" s="235"/>
      <c r="I36" s="12"/>
      <c r="J36" s="26">
        <f>SUM(J37:J41)</f>
        <v>29.132021428571427</v>
      </c>
    </row>
    <row r="37" spans="2:10" ht="12.75">
      <c r="B37" s="23" t="s">
        <v>298</v>
      </c>
      <c r="C37" s="12"/>
      <c r="D37" s="362">
        <f>'Machine Costs'!$K$103</f>
        <v>3.6353999999999997</v>
      </c>
      <c r="E37" s="51"/>
      <c r="F37" s="24" t="s">
        <v>221</v>
      </c>
      <c r="G37" s="51"/>
      <c r="H37" s="377">
        <f>Diesel</f>
        <v>1.75</v>
      </c>
      <c r="I37" s="12"/>
      <c r="J37" s="25">
        <f>D37*H37</f>
        <v>6.361949999999999</v>
      </c>
    </row>
    <row r="38" spans="2:10" ht="12.75">
      <c r="B38" s="23" t="s">
        <v>220</v>
      </c>
      <c r="C38" s="12"/>
      <c r="D38" s="231">
        <v>1</v>
      </c>
      <c r="E38" s="51"/>
      <c r="F38" s="24" t="s">
        <v>303</v>
      </c>
      <c r="G38" s="51"/>
      <c r="H38" s="378">
        <f>'Machine Costs'!$L$103</f>
        <v>1.5615000000000003</v>
      </c>
      <c r="I38" s="12"/>
      <c r="J38" s="25">
        <f>D38*H38</f>
        <v>1.5615000000000003</v>
      </c>
    </row>
    <row r="39" spans="2:10" ht="12.75" customHeight="1">
      <c r="B39" s="39" t="s">
        <v>275</v>
      </c>
      <c r="C39" s="12"/>
      <c r="D39" s="232">
        <v>1</v>
      </c>
      <c r="E39" s="51"/>
      <c r="F39" s="197" t="s">
        <v>303</v>
      </c>
      <c r="G39" s="51"/>
      <c r="H39" s="378">
        <f>'Machine Costs'!$G$103</f>
        <v>6.489999999999999</v>
      </c>
      <c r="I39" s="12"/>
      <c r="J39" s="25">
        <f>D39*H39</f>
        <v>6.489999999999999</v>
      </c>
    </row>
    <row r="40" spans="2:10" ht="12.75">
      <c r="B40" s="39" t="s">
        <v>193</v>
      </c>
      <c r="C40" s="12"/>
      <c r="D40" s="362">
        <f>'Machine Costs'!$I$103</f>
        <v>0.7359285714285713</v>
      </c>
      <c r="E40" s="51"/>
      <c r="F40" s="24" t="s">
        <v>303</v>
      </c>
      <c r="G40" s="51"/>
      <c r="H40" s="377">
        <f>HourlyMachineLabor</f>
        <v>20</v>
      </c>
      <c r="I40" s="12"/>
      <c r="J40" s="25">
        <f>D40*H40</f>
        <v>14.718571428571426</v>
      </c>
    </row>
    <row r="41" spans="2:10" ht="12.75">
      <c r="B41" s="39"/>
      <c r="C41" s="12"/>
      <c r="D41" s="50"/>
      <c r="E41" s="51"/>
      <c r="F41" s="24"/>
      <c r="G41" s="51"/>
      <c r="H41" s="236"/>
      <c r="I41" s="12"/>
      <c r="J41" s="25">
        <f>D41*H41</f>
        <v>0</v>
      </c>
    </row>
    <row r="42" spans="2:10" ht="5.25" customHeight="1">
      <c r="B42" s="12"/>
      <c r="C42" s="12"/>
      <c r="D42" s="78"/>
      <c r="E42" s="51"/>
      <c r="F42" s="13"/>
      <c r="G42" s="51"/>
      <c r="H42" s="235"/>
      <c r="I42" s="12"/>
      <c r="J42" s="25"/>
    </row>
    <row r="43" spans="2:10" ht="12.75">
      <c r="B43" s="12" t="s">
        <v>241</v>
      </c>
      <c r="C43" s="12"/>
      <c r="D43" s="85"/>
      <c r="E43" s="51"/>
      <c r="F43" s="13"/>
      <c r="G43" s="51"/>
      <c r="H43" s="235"/>
      <c r="I43" s="12"/>
      <c r="J43" s="26">
        <f>SUM(J44:J46)</f>
        <v>6.25</v>
      </c>
    </row>
    <row r="44" spans="2:10" ht="12.75">
      <c r="B44" s="23" t="s">
        <v>268</v>
      </c>
      <c r="C44" s="12"/>
      <c r="D44" s="360">
        <v>3</v>
      </c>
      <c r="E44" s="51"/>
      <c r="F44" s="24" t="s">
        <v>303</v>
      </c>
      <c r="G44" s="51"/>
      <c r="H44" s="377">
        <f>+RentalSprayer</f>
        <v>1.75</v>
      </c>
      <c r="I44" s="12"/>
      <c r="J44" s="25">
        <f>D44*H44</f>
        <v>5.25</v>
      </c>
    </row>
    <row r="45" spans="2:10" ht="12.75">
      <c r="B45" s="23" t="s">
        <v>205</v>
      </c>
      <c r="C45" s="12"/>
      <c r="D45" s="360">
        <v>1</v>
      </c>
      <c r="E45" s="51"/>
      <c r="F45" s="24" t="s">
        <v>303</v>
      </c>
      <c r="G45" s="51"/>
      <c r="H45" s="377">
        <f>+FertilizerApplicator</f>
        <v>1</v>
      </c>
      <c r="I45" s="12"/>
      <c r="J45" s="25">
        <f>D45*H45</f>
        <v>1</v>
      </c>
    </row>
    <row r="46" spans="2:10" ht="12.75">
      <c r="B46" s="23"/>
      <c r="C46" s="12"/>
      <c r="D46" s="360"/>
      <c r="E46" s="51"/>
      <c r="F46" s="24"/>
      <c r="G46" s="51"/>
      <c r="H46" s="377"/>
      <c r="I46" s="12"/>
      <c r="J46" s="21">
        <f>D46*H46</f>
        <v>0</v>
      </c>
    </row>
    <row r="47" spans="2:10" ht="5.25" customHeight="1">
      <c r="B47" s="12"/>
      <c r="C47" s="12"/>
      <c r="D47" s="51"/>
      <c r="E47" s="51"/>
      <c r="F47" s="13"/>
      <c r="G47" s="51"/>
      <c r="H47" s="235"/>
      <c r="I47" s="12"/>
      <c r="J47" s="25"/>
    </row>
    <row r="48" spans="2:10" ht="12.75">
      <c r="B48" s="12" t="s">
        <v>242</v>
      </c>
      <c r="C48" s="12"/>
      <c r="D48" s="51"/>
      <c r="E48" s="51"/>
      <c r="F48" s="13"/>
      <c r="G48" s="51"/>
      <c r="H48" s="235"/>
      <c r="I48" s="12"/>
      <c r="J48" s="26">
        <f>SUM(J49:J51)</f>
        <v>8.42</v>
      </c>
    </row>
    <row r="49" spans="2:10" ht="14.25">
      <c r="B49" s="23" t="s">
        <v>65</v>
      </c>
      <c r="C49" s="12"/>
      <c r="D49" s="50">
        <v>1</v>
      </c>
      <c r="E49" s="51"/>
      <c r="F49" s="24" t="s">
        <v>303</v>
      </c>
      <c r="G49" s="51"/>
      <c r="H49" s="379">
        <v>8.42</v>
      </c>
      <c r="I49" s="12"/>
      <c r="J49" s="25">
        <f>D49*H49</f>
        <v>8.42</v>
      </c>
    </row>
    <row r="50" spans="2:10" ht="12.75">
      <c r="B50" s="39" t="s">
        <v>2</v>
      </c>
      <c r="C50" s="12"/>
      <c r="D50" s="215"/>
      <c r="E50" s="51"/>
      <c r="F50" s="24"/>
      <c r="G50" s="51"/>
      <c r="H50" s="237"/>
      <c r="I50" s="12"/>
      <c r="J50" s="25">
        <f>D50*H50</f>
        <v>0</v>
      </c>
    </row>
    <row r="51" spans="2:10" ht="12.75">
      <c r="B51" s="39" t="s">
        <v>194</v>
      </c>
      <c r="C51" s="12"/>
      <c r="D51" s="50"/>
      <c r="E51" s="51"/>
      <c r="F51" s="24"/>
      <c r="G51" s="51"/>
      <c r="H51" s="236"/>
      <c r="I51" s="12"/>
      <c r="J51" s="25">
        <f>D51*H51</f>
        <v>0</v>
      </c>
    </row>
    <row r="52" spans="2:10" ht="4.5" customHeight="1">
      <c r="B52" s="12"/>
      <c r="C52" s="12"/>
      <c r="D52" s="78"/>
      <c r="E52" s="12"/>
      <c r="F52" s="194"/>
      <c r="G52" s="12"/>
      <c r="H52" s="195"/>
      <c r="I52" s="12"/>
      <c r="J52" s="25"/>
    </row>
    <row r="53" spans="2:10" ht="14.25">
      <c r="B53" s="12" t="s">
        <v>10</v>
      </c>
      <c r="C53" s="12"/>
      <c r="D53" s="51"/>
      <c r="E53" s="12"/>
      <c r="F53" s="13"/>
      <c r="G53" s="12"/>
      <c r="H53" s="51"/>
      <c r="I53" s="12"/>
      <c r="J53" s="25">
        <f>(J18+J21+J27+J36+J43+J48)*0.05</f>
        <v>7.235101071428571</v>
      </c>
    </row>
    <row r="54" spans="2:10" ht="14.25">
      <c r="B54" s="12" t="s">
        <v>11</v>
      </c>
      <c r="C54" s="12"/>
      <c r="D54" s="51"/>
      <c r="E54" s="12"/>
      <c r="F54" s="13"/>
      <c r="G54" s="12"/>
      <c r="H54" s="51"/>
      <c r="I54" s="12"/>
      <c r="J54" s="21">
        <f>+(J18+J21+J27+J36+J43+J48)*operloan*0.5</f>
        <v>5.4263258035714275</v>
      </c>
    </row>
    <row r="55" spans="2:10" ht="5.25" customHeight="1">
      <c r="B55" s="12"/>
      <c r="C55" s="12"/>
      <c r="D55" s="51"/>
      <c r="E55" s="12"/>
      <c r="F55" s="13"/>
      <c r="G55" s="12"/>
      <c r="H55" s="51"/>
      <c r="I55" s="12"/>
      <c r="J55" s="25"/>
    </row>
    <row r="56" spans="2:10" ht="12.75">
      <c r="B56" s="64" t="s">
        <v>203</v>
      </c>
      <c r="C56" s="64"/>
      <c r="D56" s="81"/>
      <c r="E56" s="64"/>
      <c r="F56" s="65"/>
      <c r="G56" s="64"/>
      <c r="H56" s="81"/>
      <c r="I56" s="64"/>
      <c r="J56" s="66">
        <f>SUM(J18:J54)-(J18+J21+J27+J36+J43+J48)</f>
        <v>157.36344830357154</v>
      </c>
    </row>
    <row r="57" spans="2:10" ht="12.75">
      <c r="B57" s="12" t="s">
        <v>204</v>
      </c>
      <c r="C57" s="12"/>
      <c r="D57" s="51"/>
      <c r="E57" s="12"/>
      <c r="F57" s="13"/>
      <c r="G57" s="12"/>
      <c r="H57" s="51"/>
      <c r="I57" s="12"/>
      <c r="J57" s="25">
        <f>J56/D14</f>
        <v>3.746748769132656</v>
      </c>
    </row>
    <row r="58" spans="2:10" ht="5.25" customHeight="1">
      <c r="B58" s="12"/>
      <c r="C58" s="12"/>
      <c r="D58" s="51"/>
      <c r="E58" s="12"/>
      <c r="F58" s="13"/>
      <c r="G58" s="12"/>
      <c r="H58" s="51"/>
      <c r="I58" s="12"/>
      <c r="J58" s="25"/>
    </row>
    <row r="59" spans="1:32" s="54" customFormat="1" ht="12.75">
      <c r="A59" s="53"/>
      <c r="B59" s="60" t="s">
        <v>70</v>
      </c>
      <c r="C59" s="60"/>
      <c r="D59" s="80"/>
      <c r="E59" s="60"/>
      <c r="F59" s="61"/>
      <c r="G59" s="60"/>
      <c r="H59" s="80"/>
      <c r="I59" s="60"/>
      <c r="J59" s="62">
        <f>J14-J56</f>
        <v>108.91655169642843</v>
      </c>
      <c r="K59" s="53"/>
      <c r="L59" s="53"/>
      <c r="M59" s="53"/>
      <c r="N59" s="53"/>
      <c r="O59" s="53"/>
      <c r="P59" s="53"/>
      <c r="Q59" s="53"/>
      <c r="R59" s="53"/>
      <c r="S59" s="53"/>
      <c r="T59" s="53"/>
      <c r="U59" s="53"/>
      <c r="V59" s="53"/>
      <c r="W59" s="53"/>
      <c r="X59" s="53"/>
      <c r="Y59" s="53"/>
      <c r="Z59" s="53"/>
      <c r="AA59" s="53"/>
      <c r="AB59" s="53"/>
      <c r="AC59" s="53"/>
      <c r="AD59" s="53"/>
      <c r="AE59" s="53"/>
      <c r="AF59" s="53"/>
    </row>
    <row r="60" spans="2:10" ht="5.25" customHeight="1">
      <c r="B60" s="12"/>
      <c r="C60" s="12"/>
      <c r="D60" s="51"/>
      <c r="E60" s="12"/>
      <c r="F60" s="13"/>
      <c r="G60" s="12"/>
      <c r="H60" s="51"/>
      <c r="I60" s="12"/>
      <c r="J60" s="25"/>
    </row>
    <row r="61" spans="2:10" ht="12.75">
      <c r="B61" s="11" t="s">
        <v>71</v>
      </c>
      <c r="C61" s="12"/>
      <c r="D61" s="51"/>
      <c r="E61" s="12"/>
      <c r="F61" s="13"/>
      <c r="G61" s="12"/>
      <c r="H61" s="51"/>
      <c r="I61" s="12"/>
      <c r="J61" s="25"/>
    </row>
    <row r="62" spans="2:10" ht="12.75">
      <c r="B62" s="49" t="s">
        <v>119</v>
      </c>
      <c r="C62" s="81"/>
      <c r="D62" s="81"/>
      <c r="E62" s="81"/>
      <c r="F62" s="81"/>
      <c r="G62" s="12"/>
      <c r="H62" s="51"/>
      <c r="I62" s="12"/>
      <c r="J62" s="365">
        <f>'Machine Costs'!$D$103</f>
        <v>10.602857142857145</v>
      </c>
    </row>
    <row r="63" spans="2:10" ht="12.75">
      <c r="B63" s="23" t="s">
        <v>120</v>
      </c>
      <c r="C63" s="81"/>
      <c r="D63" s="81"/>
      <c r="E63" s="81"/>
      <c r="F63" s="81"/>
      <c r="G63" s="12"/>
      <c r="H63" s="51"/>
      <c r="I63" s="12"/>
      <c r="J63" s="365">
        <f>'Machine Costs'!$E$103</f>
        <v>9.127142857142855</v>
      </c>
    </row>
    <row r="64" spans="2:10" ht="12.75">
      <c r="B64" s="23" t="s">
        <v>343</v>
      </c>
      <c r="C64" s="23"/>
      <c r="D64" s="50"/>
      <c r="E64" s="12"/>
      <c r="F64" s="13"/>
      <c r="G64" s="12"/>
      <c r="H64" s="51"/>
      <c r="I64" s="12"/>
      <c r="J64" s="365">
        <f>'Machine Costs'!$F$103</f>
        <v>2.3234285714285714</v>
      </c>
    </row>
    <row r="65" spans="2:10" ht="12.75">
      <c r="B65" s="23" t="s">
        <v>212</v>
      </c>
      <c r="C65" s="12"/>
      <c r="D65" s="50">
        <v>1</v>
      </c>
      <c r="E65" s="12"/>
      <c r="F65" s="24" t="s">
        <v>303</v>
      </c>
      <c r="G65" s="12"/>
      <c r="H65" s="154">
        <f>(D14*H14)*D67-(J21+J27+H49)*D67-J71</f>
        <v>54.4308</v>
      </c>
      <c r="I65" s="12"/>
      <c r="J65" s="366">
        <f>+H65</f>
        <v>54.4308</v>
      </c>
    </row>
    <row r="66" spans="2:10" ht="12.75" customHeight="1">
      <c r="B66" s="12" t="s">
        <v>213</v>
      </c>
      <c r="C66" s="12"/>
      <c r="D66" s="51"/>
      <c r="E66" s="12"/>
      <c r="F66" s="13"/>
      <c r="G66" s="12"/>
      <c r="H66" s="83"/>
      <c r="I66" s="12"/>
      <c r="J66" s="221"/>
    </row>
    <row r="67" spans="2:10" ht="12.75" customHeight="1">
      <c r="B67" s="12" t="s">
        <v>214</v>
      </c>
      <c r="C67" s="12"/>
      <c r="D67" s="367">
        <f>ownershare</f>
        <v>0.33</v>
      </c>
      <c r="E67" s="12"/>
      <c r="F67" s="13"/>
      <c r="G67" s="12"/>
      <c r="H67" s="83"/>
      <c r="I67" s="12"/>
      <c r="J67" s="221"/>
    </row>
    <row r="68" spans="2:10" ht="12.75" customHeight="1">
      <c r="B68" s="12" t="s">
        <v>215</v>
      </c>
      <c r="C68" s="12"/>
      <c r="D68" s="367">
        <f>opershare</f>
        <v>0.67</v>
      </c>
      <c r="E68" s="12"/>
      <c r="F68" s="13"/>
      <c r="G68" s="12"/>
      <c r="H68" s="83"/>
      <c r="I68" s="12"/>
      <c r="J68" s="221"/>
    </row>
    <row r="69" spans="2:10" ht="12.75">
      <c r="B69" s="68"/>
      <c r="C69" s="68"/>
      <c r="D69" s="86"/>
      <c r="E69" s="68"/>
      <c r="F69" s="86"/>
      <c r="G69" s="12"/>
      <c r="H69" s="51"/>
      <c r="I69" s="12"/>
      <c r="J69" s="221"/>
    </row>
    <row r="70" spans="2:33" ht="12.75">
      <c r="B70" s="63" t="s">
        <v>29</v>
      </c>
      <c r="C70" s="51"/>
      <c r="D70" s="51"/>
      <c r="E70" s="12"/>
      <c r="F70" s="13"/>
      <c r="G70" s="12"/>
      <c r="H70" s="51"/>
      <c r="I70" s="12"/>
      <c r="J70" s="368">
        <f>+cashrent</f>
        <v>0</v>
      </c>
      <c r="K70"/>
      <c r="AG70" s="46"/>
    </row>
    <row r="71" spans="2:10" ht="12.75">
      <c r="B71" s="63" t="s">
        <v>260</v>
      </c>
      <c r="C71" s="81"/>
      <c r="D71" s="81"/>
      <c r="E71" s="12"/>
      <c r="F71" s="13"/>
      <c r="G71" s="12"/>
      <c r="H71" s="51"/>
      <c r="I71" s="12"/>
      <c r="J71" s="368">
        <f>LandTax</f>
        <v>3.9</v>
      </c>
    </row>
    <row r="72" spans="2:10" ht="5.25" customHeight="1">
      <c r="B72" s="12"/>
      <c r="C72" s="12"/>
      <c r="D72" s="51"/>
      <c r="E72" s="12"/>
      <c r="F72" s="13"/>
      <c r="G72" s="12"/>
      <c r="H72" s="51"/>
      <c r="I72" s="12"/>
      <c r="J72" s="25"/>
    </row>
    <row r="73" spans="2:10" ht="12.75">
      <c r="B73" s="64" t="s">
        <v>72</v>
      </c>
      <c r="C73" s="64"/>
      <c r="D73" s="81"/>
      <c r="E73" s="64"/>
      <c r="F73" s="65"/>
      <c r="G73" s="64"/>
      <c r="H73" s="81"/>
      <c r="I73" s="64"/>
      <c r="J73" s="66">
        <f>SUM(J61:J71)</f>
        <v>80.38422857142858</v>
      </c>
    </row>
    <row r="74" spans="2:10" ht="12.75">
      <c r="B74" s="12" t="s">
        <v>73</v>
      </c>
      <c r="C74" s="12"/>
      <c r="D74" s="51"/>
      <c r="E74" s="12"/>
      <c r="F74" s="13"/>
      <c r="G74" s="12"/>
      <c r="H74" s="51"/>
      <c r="I74" s="12"/>
      <c r="J74" s="25">
        <f>J73/D14</f>
        <v>1.913910204081633</v>
      </c>
    </row>
    <row r="75" spans="2:10" ht="12.75">
      <c r="B75" s="12"/>
      <c r="C75" s="12"/>
      <c r="D75" s="51"/>
      <c r="E75" s="12"/>
      <c r="F75" s="13"/>
      <c r="G75" s="12"/>
      <c r="H75" s="51"/>
      <c r="I75" s="12"/>
      <c r="J75" s="25"/>
    </row>
    <row r="76" spans="2:10" ht="12.75">
      <c r="B76" s="64" t="s">
        <v>318</v>
      </c>
      <c r="C76" s="64"/>
      <c r="D76" s="81"/>
      <c r="E76" s="64"/>
      <c r="F76" s="65"/>
      <c r="G76" s="64"/>
      <c r="H76" s="81"/>
      <c r="I76" s="64"/>
      <c r="J76" s="66">
        <f>J56+J73</f>
        <v>237.74767687500014</v>
      </c>
    </row>
    <row r="77" spans="1:32" s="71" customFormat="1" ht="12.75">
      <c r="A77" s="73"/>
      <c r="B77" s="74" t="s">
        <v>319</v>
      </c>
      <c r="C77" s="74"/>
      <c r="D77" s="87"/>
      <c r="E77" s="74"/>
      <c r="F77" s="75"/>
      <c r="G77" s="74"/>
      <c r="H77" s="87"/>
      <c r="I77" s="74"/>
      <c r="J77" s="76">
        <f>J76/D14</f>
        <v>5.660658973214289</v>
      </c>
      <c r="K77" s="73"/>
      <c r="L77" s="73"/>
      <c r="M77" s="73"/>
      <c r="N77" s="73"/>
      <c r="O77" s="73"/>
      <c r="P77" s="73"/>
      <c r="Q77" s="73"/>
      <c r="R77" s="73"/>
      <c r="S77" s="73"/>
      <c r="T77" s="73"/>
      <c r="U77" s="73"/>
      <c r="V77" s="73"/>
      <c r="W77" s="73"/>
      <c r="X77" s="73"/>
      <c r="Y77" s="73"/>
      <c r="Z77" s="73"/>
      <c r="AA77" s="73"/>
      <c r="AB77" s="73"/>
      <c r="AC77" s="73"/>
      <c r="AD77" s="73"/>
      <c r="AE77" s="73"/>
      <c r="AF77" s="73"/>
    </row>
    <row r="78" spans="2:10" ht="12.75">
      <c r="B78" s="12"/>
      <c r="C78" s="12"/>
      <c r="D78" s="51"/>
      <c r="E78" s="12"/>
      <c r="F78" s="13"/>
      <c r="G78" s="12"/>
      <c r="H78" s="51"/>
      <c r="I78" s="12"/>
      <c r="J78" s="25"/>
    </row>
    <row r="79" spans="1:32" s="54" customFormat="1" ht="12.75">
      <c r="A79" s="53"/>
      <c r="B79" s="64" t="s">
        <v>326</v>
      </c>
      <c r="C79" s="64"/>
      <c r="D79" s="81"/>
      <c r="E79" s="64"/>
      <c r="F79" s="65"/>
      <c r="G79" s="64"/>
      <c r="H79" s="81"/>
      <c r="I79" s="64"/>
      <c r="J79" s="66">
        <f>J14-J76</f>
        <v>28.532323124999834</v>
      </c>
      <c r="K79" s="53"/>
      <c r="L79" s="53"/>
      <c r="M79" s="53"/>
      <c r="N79" s="53"/>
      <c r="O79" s="53"/>
      <c r="P79" s="53"/>
      <c r="Q79" s="53"/>
      <c r="R79" s="53"/>
      <c r="S79" s="53"/>
      <c r="T79" s="53"/>
      <c r="U79" s="53"/>
      <c r="V79" s="53"/>
      <c r="W79" s="53"/>
      <c r="X79" s="53"/>
      <c r="Y79" s="53"/>
      <c r="Z79" s="53"/>
      <c r="AA79" s="53"/>
      <c r="AB79" s="53"/>
      <c r="AC79" s="53"/>
      <c r="AD79" s="53"/>
      <c r="AE79" s="53"/>
      <c r="AF79" s="53"/>
    </row>
    <row r="80" spans="1:32" s="54" customFormat="1" ht="12.75">
      <c r="A80" s="53"/>
      <c r="B80" s="60"/>
      <c r="C80" s="60"/>
      <c r="D80" s="80"/>
      <c r="E80" s="60"/>
      <c r="F80" s="61"/>
      <c r="G80" s="60"/>
      <c r="H80" s="80"/>
      <c r="I80" s="60"/>
      <c r="J80" s="62"/>
      <c r="K80" s="53"/>
      <c r="L80" s="53"/>
      <c r="M80" s="53"/>
      <c r="N80" s="53"/>
      <c r="O80" s="53"/>
      <c r="P80" s="53"/>
      <c r="Q80" s="53"/>
      <c r="R80" s="53"/>
      <c r="S80" s="53"/>
      <c r="T80" s="53"/>
      <c r="U80" s="53"/>
      <c r="V80" s="53"/>
      <c r="W80" s="53"/>
      <c r="X80" s="53"/>
      <c r="Y80" s="53"/>
      <c r="Z80" s="53"/>
      <c r="AA80" s="53"/>
      <c r="AB80" s="53"/>
      <c r="AC80" s="53"/>
      <c r="AD80" s="53"/>
      <c r="AE80" s="53"/>
      <c r="AF80" s="53"/>
    </row>
    <row r="81" spans="2:10" ht="12.75">
      <c r="B81" s="70" t="s">
        <v>327</v>
      </c>
      <c r="C81" s="70"/>
      <c r="D81" s="89"/>
      <c r="E81" s="70"/>
      <c r="F81" s="89"/>
      <c r="G81" s="70"/>
      <c r="H81" s="89"/>
      <c r="I81" s="70"/>
      <c r="J81" s="70"/>
    </row>
    <row r="82" spans="2:10" ht="15" customHeight="1">
      <c r="B82" s="438" t="s">
        <v>37</v>
      </c>
      <c r="C82" s="439"/>
      <c r="D82" s="439"/>
      <c r="E82" s="439"/>
      <c r="F82" s="439"/>
      <c r="G82" s="439"/>
      <c r="H82" s="439"/>
      <c r="I82" s="439"/>
      <c r="J82" s="439"/>
    </row>
    <row r="83" spans="2:10" ht="15" customHeight="1">
      <c r="B83" s="214" t="s">
        <v>12</v>
      </c>
      <c r="C83" s="55"/>
      <c r="D83" s="82"/>
      <c r="E83" s="55"/>
      <c r="F83" s="67"/>
      <c r="G83" s="55"/>
      <c r="H83" s="82"/>
      <c r="I83" s="55"/>
      <c r="J83" s="55"/>
    </row>
    <row r="84" spans="2:10" ht="19.5" customHeight="1">
      <c r="B84" s="403" t="s">
        <v>19</v>
      </c>
      <c r="C84" s="214"/>
      <c r="D84" s="214"/>
      <c r="E84" s="214"/>
      <c r="F84" s="214"/>
      <c r="G84" s="214"/>
      <c r="H84" s="214"/>
      <c r="I84" s="214"/>
      <c r="J84" s="214"/>
    </row>
    <row r="85" spans="2:10" ht="15" customHeight="1">
      <c r="B85" s="450" t="s">
        <v>33</v>
      </c>
      <c r="C85" s="451"/>
      <c r="D85" s="451"/>
      <c r="E85" s="451"/>
      <c r="F85" s="451"/>
      <c r="G85" s="451"/>
      <c r="H85" s="451"/>
      <c r="I85" s="451"/>
      <c r="J85" s="451"/>
    </row>
    <row r="86" spans="2:10" ht="15" customHeight="1">
      <c r="B86" s="452" t="s">
        <v>36</v>
      </c>
      <c r="C86" s="453"/>
      <c r="D86" s="453"/>
      <c r="E86" s="453"/>
      <c r="F86" s="453"/>
      <c r="G86" s="453"/>
      <c r="H86" s="453"/>
      <c r="I86" s="453"/>
      <c r="J86" s="453"/>
    </row>
    <row r="87" spans="2:10" ht="12.75">
      <c r="B87" s="12"/>
      <c r="C87" s="12"/>
      <c r="D87" s="51"/>
      <c r="E87" s="12"/>
      <c r="F87" s="13"/>
      <c r="G87" s="12"/>
      <c r="H87" s="51"/>
      <c r="I87" s="12"/>
      <c r="J87" s="12"/>
    </row>
    <row r="88" spans="2:10" ht="12.75">
      <c r="B88" s="28" t="s">
        <v>328</v>
      </c>
      <c r="C88" s="12"/>
      <c r="D88" s="29" t="s">
        <v>329</v>
      </c>
      <c r="E88" s="12"/>
      <c r="F88" s="13"/>
      <c r="G88" s="12"/>
      <c r="H88" s="29" t="s">
        <v>331</v>
      </c>
      <c r="I88" s="12"/>
      <c r="J88" s="12"/>
    </row>
    <row r="89" spans="2:10" ht="12.75">
      <c r="B89" s="12"/>
      <c r="C89" s="12"/>
      <c r="D89" s="30">
        <v>0.1</v>
      </c>
      <c r="E89" s="12"/>
      <c r="F89" s="13" t="s">
        <v>330</v>
      </c>
      <c r="G89" s="12"/>
      <c r="H89" s="30">
        <v>0.1</v>
      </c>
      <c r="I89" s="12"/>
      <c r="J89" s="12"/>
    </row>
    <row r="90" spans="2:10" ht="12.75">
      <c r="B90" s="12"/>
      <c r="C90" s="12"/>
      <c r="D90" s="31"/>
      <c r="E90" s="8"/>
      <c r="F90" s="7" t="s">
        <v>332</v>
      </c>
      <c r="G90" s="8"/>
      <c r="H90" s="31"/>
      <c r="I90" s="12"/>
      <c r="J90" s="12"/>
    </row>
    <row r="91" spans="2:10" ht="12.75">
      <c r="B91" s="32" t="s">
        <v>301</v>
      </c>
      <c r="C91" s="12"/>
      <c r="D91" s="198">
        <f>F91*(1-D89)</f>
        <v>37.800000000000004</v>
      </c>
      <c r="E91" s="33"/>
      <c r="F91" s="34">
        <f>D14</f>
        <v>42</v>
      </c>
      <c r="G91" s="33"/>
      <c r="H91" s="198">
        <f>F91*(1+H89)</f>
        <v>46.2</v>
      </c>
      <c r="I91" s="12"/>
      <c r="J91" s="12"/>
    </row>
    <row r="92" spans="2:10" ht="4.5" customHeight="1">
      <c r="B92" s="12"/>
      <c r="C92" s="12"/>
      <c r="D92" s="51"/>
      <c r="E92" s="12"/>
      <c r="F92" s="13"/>
      <c r="G92" s="12"/>
      <c r="H92" s="51"/>
      <c r="I92" s="12"/>
      <c r="J92" s="12"/>
    </row>
    <row r="93" spans="2:10" ht="12.75">
      <c r="B93" s="12" t="s">
        <v>300</v>
      </c>
      <c r="C93" s="12"/>
      <c r="D93" s="35">
        <f>$J$56/D91</f>
        <v>4.163054187925173</v>
      </c>
      <c r="E93" s="12"/>
      <c r="F93" s="35">
        <f>$J$56/F91</f>
        <v>3.746748769132656</v>
      </c>
      <c r="G93" s="12"/>
      <c r="H93" s="35">
        <f>$J$56/H91</f>
        <v>3.4061352446660504</v>
      </c>
      <c r="I93" s="12"/>
      <c r="J93" s="12"/>
    </row>
    <row r="94" spans="2:10" ht="4.5" customHeight="1">
      <c r="B94" s="12"/>
      <c r="C94" s="12"/>
      <c r="D94" s="51"/>
      <c r="E94" s="12"/>
      <c r="F94" s="13"/>
      <c r="G94" s="12"/>
      <c r="H94" s="51"/>
      <c r="I94" s="12"/>
      <c r="J94" s="12"/>
    </row>
    <row r="95" spans="2:10" ht="12.75">
      <c r="B95" s="12" t="s">
        <v>252</v>
      </c>
      <c r="C95" s="12"/>
      <c r="D95" s="35">
        <f>$J$73/D91</f>
        <v>2.126566893424036</v>
      </c>
      <c r="E95" s="12"/>
      <c r="F95" s="35">
        <f>$J$73/F91</f>
        <v>1.913910204081633</v>
      </c>
      <c r="G95" s="12"/>
      <c r="H95" s="35">
        <f>$J$73/H91</f>
        <v>1.739918367346939</v>
      </c>
      <c r="I95" s="12"/>
      <c r="J95" s="12"/>
    </row>
    <row r="96" spans="2:10" ht="3.75" customHeight="1">
      <c r="B96" s="12"/>
      <c r="C96" s="12"/>
      <c r="D96" s="51"/>
      <c r="E96" s="12"/>
      <c r="F96" s="13"/>
      <c r="G96" s="12"/>
      <c r="H96" s="51"/>
      <c r="I96" s="12"/>
      <c r="J96" s="12"/>
    </row>
    <row r="97" spans="2:10" ht="12.75">
      <c r="B97" s="12" t="s">
        <v>253</v>
      </c>
      <c r="C97" s="12"/>
      <c r="D97" s="35">
        <f>$J$76/D91</f>
        <v>6.2896210813492095</v>
      </c>
      <c r="E97" s="12"/>
      <c r="F97" s="35">
        <f>$J$76/F91</f>
        <v>5.660658973214289</v>
      </c>
      <c r="G97" s="12"/>
      <c r="H97" s="35">
        <f>$J$76/H91</f>
        <v>5.14605361201299</v>
      </c>
      <c r="I97" s="12"/>
      <c r="J97" s="12"/>
    </row>
    <row r="98" spans="2:10" ht="12.75">
      <c r="B98" s="12"/>
      <c r="C98" s="12"/>
      <c r="D98" s="35"/>
      <c r="E98" s="12"/>
      <c r="F98" s="35"/>
      <c r="G98" s="12"/>
      <c r="H98" s="35"/>
      <c r="I98" s="12"/>
      <c r="J98" s="12"/>
    </row>
    <row r="99" spans="2:10" ht="12.75" customHeight="1">
      <c r="B99" s="16"/>
      <c r="C99" s="16"/>
      <c r="D99" s="29" t="s">
        <v>329</v>
      </c>
      <c r="E99" s="12"/>
      <c r="F99" s="13"/>
      <c r="G99" s="12"/>
      <c r="H99" s="29" t="s">
        <v>331</v>
      </c>
      <c r="I99" s="16"/>
      <c r="J99" s="16"/>
    </row>
    <row r="100" spans="2:10" ht="12.75">
      <c r="B100" s="12"/>
      <c r="C100" s="12"/>
      <c r="D100" s="30">
        <v>0.1</v>
      </c>
      <c r="E100" s="12"/>
      <c r="F100" s="13" t="s">
        <v>330</v>
      </c>
      <c r="G100" s="12"/>
      <c r="H100" s="30">
        <v>0.1</v>
      </c>
      <c r="I100" s="12"/>
      <c r="J100" s="12"/>
    </row>
    <row r="101" spans="2:10" ht="12.75">
      <c r="B101" s="12"/>
      <c r="C101" s="12"/>
      <c r="D101" s="7"/>
      <c r="E101" s="8"/>
      <c r="F101" s="9" t="s">
        <v>301</v>
      </c>
      <c r="G101" s="8"/>
      <c r="H101" s="7"/>
      <c r="I101" s="12"/>
      <c r="J101" s="12"/>
    </row>
    <row r="102" spans="2:10" ht="12.75">
      <c r="B102" s="32" t="s">
        <v>332</v>
      </c>
      <c r="C102" s="12"/>
      <c r="D102" s="36">
        <f>F102*(1-D89)</f>
        <v>5.706</v>
      </c>
      <c r="E102" s="33"/>
      <c r="F102" s="37">
        <f>H14</f>
        <v>6.34</v>
      </c>
      <c r="G102" s="33"/>
      <c r="H102" s="36">
        <f>F102*(1+H89)</f>
        <v>6.974</v>
      </c>
      <c r="I102" s="12"/>
      <c r="J102" s="12"/>
    </row>
    <row r="103" spans="2:10" ht="4.5" customHeight="1">
      <c r="B103" s="12"/>
      <c r="C103" s="12"/>
      <c r="D103" s="51"/>
      <c r="E103" s="12"/>
      <c r="F103" s="13"/>
      <c r="G103" s="12"/>
      <c r="H103" s="51"/>
      <c r="I103" s="12"/>
      <c r="J103" s="12"/>
    </row>
    <row r="104" spans="2:10" ht="12.75">
      <c r="B104" s="12" t="s">
        <v>300</v>
      </c>
      <c r="C104" s="12"/>
      <c r="D104" s="38">
        <f>$J$56/D102</f>
        <v>27.578592412122596</v>
      </c>
      <c r="E104" s="12"/>
      <c r="F104" s="38">
        <f>$J$56/F102</f>
        <v>24.820733170910337</v>
      </c>
      <c r="G104" s="12"/>
      <c r="H104" s="38">
        <f>$J$56/H102</f>
        <v>22.564302882645762</v>
      </c>
      <c r="I104" s="12"/>
      <c r="J104" s="12"/>
    </row>
    <row r="105" spans="2:10" ht="3" customHeight="1">
      <c r="B105" s="12"/>
      <c r="C105" s="12"/>
      <c r="D105" s="51"/>
      <c r="E105" s="12"/>
      <c r="F105" s="13"/>
      <c r="G105" s="12"/>
      <c r="H105" s="51"/>
      <c r="I105" s="12"/>
      <c r="J105" s="12"/>
    </row>
    <row r="106" spans="2:10" ht="12.75">
      <c r="B106" s="12" t="s">
        <v>252</v>
      </c>
      <c r="C106" s="12"/>
      <c r="D106" s="38">
        <f>$J$73/D102</f>
        <v>14.087667117320114</v>
      </c>
      <c r="E106" s="12"/>
      <c r="F106" s="38">
        <f>$J$73/F102</f>
        <v>12.678900405588104</v>
      </c>
      <c r="G106" s="12"/>
      <c r="H106" s="38">
        <f>$J$73/H102</f>
        <v>11.526273095989184</v>
      </c>
      <c r="I106" s="12"/>
      <c r="J106" s="12"/>
    </row>
    <row r="107" spans="2:10" ht="3.75" customHeight="1">
      <c r="B107" s="12"/>
      <c r="C107" s="12"/>
      <c r="D107" s="51"/>
      <c r="E107" s="12"/>
      <c r="F107" s="13"/>
      <c r="G107" s="12"/>
      <c r="H107" s="51"/>
      <c r="I107" s="12"/>
      <c r="J107" s="12"/>
    </row>
    <row r="108" spans="2:10" ht="12.75">
      <c r="B108" s="12" t="s">
        <v>253</v>
      </c>
      <c r="C108" s="12"/>
      <c r="D108" s="38">
        <f>$J$76/D102</f>
        <v>41.66625952944271</v>
      </c>
      <c r="E108" s="12"/>
      <c r="F108" s="38">
        <f>$J$76/F102</f>
        <v>37.49963357649845</v>
      </c>
      <c r="G108" s="12"/>
      <c r="H108" s="38">
        <f>$J$76/H102</f>
        <v>34.09057597863495</v>
      </c>
      <c r="I108" s="12"/>
      <c r="J108" s="12"/>
    </row>
    <row r="109" spans="2:10" ht="5.25" customHeight="1">
      <c r="B109" s="12"/>
      <c r="C109" s="12"/>
      <c r="D109" s="51"/>
      <c r="E109" s="12"/>
      <c r="F109" s="13"/>
      <c r="G109" s="12"/>
      <c r="H109" s="51"/>
      <c r="I109" s="12"/>
      <c r="J109" s="12"/>
    </row>
    <row r="110" spans="2:10" ht="12.75">
      <c r="B110" s="8"/>
      <c r="C110" s="8"/>
      <c r="D110" s="7"/>
      <c r="E110" s="8"/>
      <c r="F110" s="9"/>
      <c r="G110" s="8"/>
      <c r="H110" s="7"/>
      <c r="I110" s="8"/>
      <c r="J110" s="8"/>
    </row>
    <row r="111" spans="2:10" ht="12.75">
      <c r="B111" s="46"/>
      <c r="C111" s="46"/>
      <c r="D111" s="77"/>
      <c r="E111" s="46"/>
      <c r="F111" s="47"/>
      <c r="G111" s="46"/>
      <c r="H111" s="77"/>
      <c r="I111" s="46"/>
      <c r="J111" s="46"/>
    </row>
    <row r="112" spans="2:10" ht="12.75">
      <c r="B112" s="46"/>
      <c r="C112" s="46"/>
      <c r="D112" s="77"/>
      <c r="E112" s="46"/>
      <c r="F112" s="47"/>
      <c r="G112" s="46"/>
      <c r="H112" s="77"/>
      <c r="I112" s="46"/>
      <c r="J112" s="46"/>
    </row>
    <row r="113" spans="2:10" ht="12.75">
      <c r="B113" s="46"/>
      <c r="C113" s="46"/>
      <c r="D113" s="77"/>
      <c r="E113" s="46"/>
      <c r="F113" s="47"/>
      <c r="G113" s="46"/>
      <c r="H113" s="77"/>
      <c r="I113" s="46"/>
      <c r="J113" s="46"/>
    </row>
    <row r="114" spans="2:10" ht="12.75">
      <c r="B114" s="46"/>
      <c r="C114" s="46"/>
      <c r="D114" s="77"/>
      <c r="E114" s="46"/>
      <c r="F114" s="47"/>
      <c r="G114" s="46"/>
      <c r="H114" s="77"/>
      <c r="I114" s="46"/>
      <c r="J114" s="46"/>
    </row>
    <row r="115" spans="2:10" ht="12.75">
      <c r="B115" s="46"/>
      <c r="C115" s="46"/>
      <c r="D115" s="77"/>
      <c r="E115" s="46"/>
      <c r="F115" s="47"/>
      <c r="G115" s="46"/>
      <c r="H115" s="77"/>
      <c r="I115" s="46"/>
      <c r="J115" s="46"/>
    </row>
    <row r="116" spans="2:10" ht="12.75">
      <c r="B116" s="46"/>
      <c r="C116" s="46"/>
      <c r="D116" s="77"/>
      <c r="E116" s="46"/>
      <c r="F116" s="47"/>
      <c r="G116" s="46"/>
      <c r="H116" s="77"/>
      <c r="I116" s="46"/>
      <c r="J116" s="46"/>
    </row>
    <row r="117" spans="2:10" ht="12.75">
      <c r="B117" s="46"/>
      <c r="C117" s="46"/>
      <c r="D117" s="77"/>
      <c r="E117" s="46"/>
      <c r="F117" s="47"/>
      <c r="G117" s="46"/>
      <c r="H117" s="77"/>
      <c r="I117" s="46"/>
      <c r="J117" s="46"/>
    </row>
    <row r="118" spans="2:10" ht="12.75">
      <c r="B118" s="46"/>
      <c r="C118" s="46"/>
      <c r="D118" s="77"/>
      <c r="E118" s="46"/>
      <c r="F118" s="47"/>
      <c r="G118" s="46"/>
      <c r="H118" s="77"/>
      <c r="I118" s="46"/>
      <c r="J118" s="46"/>
    </row>
    <row r="119" spans="2:10" ht="12.75">
      <c r="B119" s="46"/>
      <c r="C119" s="46"/>
      <c r="D119" s="77"/>
      <c r="E119" s="46"/>
      <c r="F119" s="47"/>
      <c r="G119" s="46"/>
      <c r="H119" s="77"/>
      <c r="I119" s="46"/>
      <c r="J119" s="46"/>
    </row>
    <row r="120" spans="2:10" ht="12.75">
      <c r="B120" s="46"/>
      <c r="C120" s="46"/>
      <c r="D120" s="77"/>
      <c r="E120" s="46"/>
      <c r="F120" s="47"/>
      <c r="G120" s="46"/>
      <c r="H120" s="77"/>
      <c r="I120" s="46"/>
      <c r="J120" s="46"/>
    </row>
    <row r="121" spans="2:10" ht="12.75">
      <c r="B121" s="46"/>
      <c r="C121" s="46"/>
      <c r="D121" s="77"/>
      <c r="E121" s="46"/>
      <c r="F121" s="47"/>
      <c r="G121" s="46"/>
      <c r="H121" s="77"/>
      <c r="I121" s="46"/>
      <c r="J121" s="46"/>
    </row>
    <row r="122" spans="2:10" ht="12.75">
      <c r="B122" s="46"/>
      <c r="C122" s="46"/>
      <c r="D122" s="77"/>
      <c r="E122" s="46"/>
      <c r="F122" s="47"/>
      <c r="G122" s="46"/>
      <c r="H122" s="77"/>
      <c r="I122" s="46"/>
      <c r="J122" s="46"/>
    </row>
    <row r="123" spans="2:10" ht="12.75">
      <c r="B123" s="46"/>
      <c r="C123" s="46"/>
      <c r="D123" s="77"/>
      <c r="E123" s="46"/>
      <c r="F123" s="47"/>
      <c r="G123" s="46"/>
      <c r="H123" s="77"/>
      <c r="I123" s="46"/>
      <c r="J123" s="46"/>
    </row>
    <row r="124" spans="2:10" ht="12.75">
      <c r="B124" s="46"/>
      <c r="C124" s="46"/>
      <c r="D124" s="77"/>
      <c r="E124" s="46"/>
      <c r="F124" s="47"/>
      <c r="G124" s="46"/>
      <c r="H124" s="77"/>
      <c r="I124" s="46"/>
      <c r="J124" s="46"/>
    </row>
    <row r="125" spans="2:10" ht="12.75">
      <c r="B125" s="46"/>
      <c r="C125" s="46"/>
      <c r="D125" s="77"/>
      <c r="E125" s="46"/>
      <c r="F125" s="47"/>
      <c r="G125" s="46"/>
      <c r="H125" s="77"/>
      <c r="I125" s="46"/>
      <c r="J125" s="46"/>
    </row>
    <row r="126" spans="2:10" ht="12.75">
      <c r="B126" s="46"/>
      <c r="C126" s="46"/>
      <c r="D126" s="77"/>
      <c r="E126" s="46"/>
      <c r="F126" s="47"/>
      <c r="G126" s="46"/>
      <c r="H126" s="77"/>
      <c r="I126" s="46"/>
      <c r="J126" s="46"/>
    </row>
    <row r="127" spans="2:10" ht="12.75">
      <c r="B127" s="46"/>
      <c r="C127" s="46"/>
      <c r="D127" s="77"/>
      <c r="E127" s="46"/>
      <c r="F127" s="47"/>
      <c r="G127" s="46"/>
      <c r="H127" s="77"/>
      <c r="I127" s="46"/>
      <c r="J127" s="46"/>
    </row>
    <row r="128" spans="2:10" ht="12.75">
      <c r="B128" s="46"/>
      <c r="C128" s="46"/>
      <c r="D128" s="77"/>
      <c r="E128" s="46"/>
      <c r="F128" s="47"/>
      <c r="G128" s="46"/>
      <c r="H128" s="77"/>
      <c r="I128" s="46"/>
      <c r="J128" s="46"/>
    </row>
    <row r="129" spans="2:10" ht="12.75">
      <c r="B129" s="46"/>
      <c r="C129" s="46"/>
      <c r="D129" s="77"/>
      <c r="E129" s="46"/>
      <c r="F129" s="47"/>
      <c r="G129" s="46"/>
      <c r="H129" s="77"/>
      <c r="I129" s="46"/>
      <c r="J129" s="46"/>
    </row>
    <row r="130" spans="2:10" ht="12.75">
      <c r="B130" s="46"/>
      <c r="C130" s="46"/>
      <c r="D130" s="77"/>
      <c r="E130" s="46"/>
      <c r="F130" s="47"/>
      <c r="G130" s="46"/>
      <c r="H130" s="77"/>
      <c r="I130" s="46"/>
      <c r="J130" s="46"/>
    </row>
    <row r="131" spans="2:10" ht="12.75">
      <c r="B131" s="46"/>
      <c r="C131" s="46"/>
      <c r="D131" s="77"/>
      <c r="E131" s="46"/>
      <c r="F131" s="47"/>
      <c r="G131" s="46"/>
      <c r="H131" s="77"/>
      <c r="I131" s="46"/>
      <c r="J131" s="46"/>
    </row>
    <row r="132" spans="2:10" ht="12.75">
      <c r="B132" s="46"/>
      <c r="C132" s="46"/>
      <c r="D132" s="77"/>
      <c r="E132" s="46"/>
      <c r="F132" s="47"/>
      <c r="G132" s="46"/>
      <c r="H132" s="77"/>
      <c r="I132" s="46"/>
      <c r="J132" s="46"/>
    </row>
    <row r="133" spans="2:10" ht="12.75">
      <c r="B133" s="46"/>
      <c r="C133" s="46"/>
      <c r="D133" s="77"/>
      <c r="E133" s="46"/>
      <c r="F133" s="47"/>
      <c r="G133" s="46"/>
      <c r="H133" s="77"/>
      <c r="I133" s="46"/>
      <c r="J133" s="46"/>
    </row>
    <row r="134" spans="2:10" ht="12.75">
      <c r="B134" s="46"/>
      <c r="C134" s="46"/>
      <c r="D134" s="77"/>
      <c r="E134" s="46"/>
      <c r="F134" s="47"/>
      <c r="G134" s="46"/>
      <c r="H134" s="77"/>
      <c r="I134" s="46"/>
      <c r="J134" s="46"/>
    </row>
    <row r="135" spans="2:10" ht="12.75">
      <c r="B135" s="46"/>
      <c r="C135" s="46"/>
      <c r="D135" s="77"/>
      <c r="E135" s="46"/>
      <c r="F135" s="47"/>
      <c r="G135" s="46"/>
      <c r="H135" s="77"/>
      <c r="I135" s="46"/>
      <c r="J135" s="46"/>
    </row>
    <row r="136" spans="2:10" ht="12.75">
      <c r="B136" s="46"/>
      <c r="C136" s="46"/>
      <c r="D136" s="77"/>
      <c r="E136" s="46"/>
      <c r="F136" s="47"/>
      <c r="G136" s="46"/>
      <c r="H136" s="77"/>
      <c r="I136" s="46"/>
      <c r="J136" s="46"/>
    </row>
    <row r="137" spans="2:10" ht="12.75">
      <c r="B137" s="46"/>
      <c r="C137" s="46"/>
      <c r="D137" s="77"/>
      <c r="E137" s="46"/>
      <c r="F137" s="47"/>
      <c r="G137" s="46"/>
      <c r="H137" s="77"/>
      <c r="I137" s="46"/>
      <c r="J137" s="46"/>
    </row>
    <row r="138" spans="2:10" ht="12.75">
      <c r="B138" s="46"/>
      <c r="C138" s="46"/>
      <c r="D138" s="77"/>
      <c r="E138" s="46"/>
      <c r="F138" s="47"/>
      <c r="G138" s="46"/>
      <c r="H138" s="77"/>
      <c r="I138" s="46"/>
      <c r="J138" s="46"/>
    </row>
    <row r="139" spans="2:10" ht="12.75">
      <c r="B139" s="46"/>
      <c r="C139" s="46"/>
      <c r="D139" s="77"/>
      <c r="E139" s="46"/>
      <c r="F139" s="47"/>
      <c r="G139" s="46"/>
      <c r="H139" s="77"/>
      <c r="I139" s="46"/>
      <c r="J139" s="46"/>
    </row>
    <row r="140" spans="2:10" ht="12.75">
      <c r="B140" s="46"/>
      <c r="C140" s="46"/>
      <c r="D140" s="77"/>
      <c r="E140" s="46"/>
      <c r="F140" s="47"/>
      <c r="G140" s="46"/>
      <c r="H140" s="77"/>
      <c r="I140" s="46"/>
      <c r="J140" s="46"/>
    </row>
    <row r="141" spans="2:10" ht="12.75">
      <c r="B141" s="46"/>
      <c r="C141" s="46"/>
      <c r="D141" s="77"/>
      <c r="E141" s="46"/>
      <c r="F141" s="47"/>
      <c r="G141" s="46"/>
      <c r="H141" s="77"/>
      <c r="I141" s="46"/>
      <c r="J141" s="46"/>
    </row>
    <row r="142" spans="2:10" ht="12.75">
      <c r="B142" s="46"/>
      <c r="C142" s="46"/>
      <c r="D142" s="77"/>
      <c r="E142" s="46"/>
      <c r="F142" s="47"/>
      <c r="G142" s="46"/>
      <c r="H142" s="77"/>
      <c r="I142" s="46"/>
      <c r="J142" s="46"/>
    </row>
    <row r="143" spans="2:10" ht="12.75">
      <c r="B143" s="46"/>
      <c r="C143" s="46"/>
      <c r="D143" s="77"/>
      <c r="E143" s="46"/>
      <c r="F143" s="47"/>
      <c r="G143" s="46"/>
      <c r="H143" s="77"/>
      <c r="I143" s="46"/>
      <c r="J143" s="46"/>
    </row>
    <row r="144" spans="2:10" ht="12.75">
      <c r="B144" s="46"/>
      <c r="C144" s="46"/>
      <c r="D144" s="77"/>
      <c r="E144" s="46"/>
      <c r="F144" s="47"/>
      <c r="G144" s="46"/>
      <c r="H144" s="77"/>
      <c r="I144" s="46"/>
      <c r="J144" s="46"/>
    </row>
    <row r="145" spans="2:10" ht="12.75">
      <c r="B145" s="46"/>
      <c r="C145" s="46"/>
      <c r="D145" s="77"/>
      <c r="E145" s="46"/>
      <c r="F145" s="47"/>
      <c r="G145" s="46"/>
      <c r="H145" s="77"/>
      <c r="I145" s="46"/>
      <c r="J145" s="46"/>
    </row>
    <row r="146" spans="2:10" ht="12.75">
      <c r="B146" s="46"/>
      <c r="C146" s="46"/>
      <c r="D146" s="77"/>
      <c r="E146" s="46"/>
      <c r="F146" s="47"/>
      <c r="G146" s="46"/>
      <c r="H146" s="77"/>
      <c r="I146" s="46"/>
      <c r="J146" s="46"/>
    </row>
    <row r="147" spans="2:10" ht="12.75">
      <c r="B147" s="46"/>
      <c r="C147" s="46"/>
      <c r="D147" s="77"/>
      <c r="E147" s="46"/>
      <c r="F147" s="47"/>
      <c r="G147" s="46"/>
      <c r="H147" s="77"/>
      <c r="I147" s="46"/>
      <c r="J147" s="46"/>
    </row>
    <row r="148" spans="2:10" ht="12.75">
      <c r="B148" s="46"/>
      <c r="C148" s="46"/>
      <c r="D148" s="77"/>
      <c r="E148" s="46"/>
      <c r="F148" s="47"/>
      <c r="G148" s="46"/>
      <c r="H148" s="77"/>
      <c r="I148" s="46"/>
      <c r="J148" s="46"/>
    </row>
    <row r="149" spans="2:10" ht="12.75">
      <c r="B149" s="46"/>
      <c r="C149" s="46"/>
      <c r="D149" s="77"/>
      <c r="E149" s="46"/>
      <c r="F149" s="47"/>
      <c r="G149" s="46"/>
      <c r="H149" s="77"/>
      <c r="I149" s="46"/>
      <c r="J149" s="46"/>
    </row>
    <row r="150" spans="2:10" ht="12.75">
      <c r="B150" s="46"/>
      <c r="C150" s="46"/>
      <c r="D150" s="77"/>
      <c r="E150" s="46"/>
      <c r="F150" s="47"/>
      <c r="G150" s="46"/>
      <c r="H150" s="77"/>
      <c r="I150" s="46"/>
      <c r="J150" s="46"/>
    </row>
    <row r="151" spans="2:10" ht="12.75">
      <c r="B151" s="46"/>
      <c r="C151" s="46"/>
      <c r="D151" s="77"/>
      <c r="E151" s="46"/>
      <c r="F151" s="47"/>
      <c r="G151" s="46"/>
      <c r="H151" s="77"/>
      <c r="I151" s="46"/>
      <c r="J151" s="46"/>
    </row>
    <row r="152" spans="2:10" ht="12.75">
      <c r="B152" s="46"/>
      <c r="C152" s="46"/>
      <c r="D152" s="77"/>
      <c r="E152" s="46"/>
      <c r="F152" s="47"/>
      <c r="G152" s="46"/>
      <c r="H152" s="77"/>
      <c r="I152" s="46"/>
      <c r="J152" s="46"/>
    </row>
    <row r="153" spans="2:10" ht="12.75">
      <c r="B153" s="46"/>
      <c r="C153" s="46"/>
      <c r="D153" s="77"/>
      <c r="E153" s="46"/>
      <c r="F153" s="47"/>
      <c r="G153" s="46"/>
      <c r="H153" s="77"/>
      <c r="I153" s="46"/>
      <c r="J153" s="46"/>
    </row>
    <row r="154" spans="2:10" ht="12.75">
      <c r="B154" s="46"/>
      <c r="C154" s="46"/>
      <c r="D154" s="77"/>
      <c r="E154" s="46"/>
      <c r="F154" s="47"/>
      <c r="G154" s="46"/>
      <c r="H154" s="77"/>
      <c r="I154" s="46"/>
      <c r="J154" s="46"/>
    </row>
    <row r="155" spans="2:10" ht="12.75">
      <c r="B155" s="46"/>
      <c r="C155" s="46"/>
      <c r="D155" s="77"/>
      <c r="E155" s="46"/>
      <c r="F155" s="47"/>
      <c r="G155" s="46"/>
      <c r="H155" s="77"/>
      <c r="I155" s="46"/>
      <c r="J155" s="46"/>
    </row>
    <row r="156" spans="4:33" s="46" customFormat="1" ht="12.75">
      <c r="D156" s="77"/>
      <c r="F156" s="47"/>
      <c r="H156" s="77"/>
      <c r="AG156"/>
    </row>
    <row r="157" spans="4:33" s="46" customFormat="1" ht="12.75">
      <c r="D157" s="77"/>
      <c r="F157" s="47"/>
      <c r="H157" s="77"/>
      <c r="AG157"/>
    </row>
  </sheetData>
  <sheetProtection/>
  <mergeCells count="9">
    <mergeCell ref="B85:J85"/>
    <mergeCell ref="B86:J86"/>
    <mergeCell ref="B82:J82"/>
    <mergeCell ref="B6:J6"/>
    <mergeCell ref="B2:J2"/>
    <mergeCell ref="B3:J3"/>
    <mergeCell ref="B4:J4"/>
    <mergeCell ref="B5:J5"/>
    <mergeCell ref="B8:J8"/>
  </mergeCells>
  <hyperlinks>
    <hyperlink ref="B86:J86" location="SWMC" display="Hard Red Spring Wheat Machinery Costs table."/>
  </hyperlinks>
  <printOptions horizontalCentered="1"/>
  <pageMargins left="0.75" right="0.75" top="1" bottom="1" header="0.5" footer="0.5"/>
  <pageSetup orientation="portrait" scale="90" r:id="rId1"/>
  <headerFooter alignWithMargins="0">
    <oddFooter>&amp;L&amp;A&amp;C&amp;F&amp;R&amp;D</oddFooter>
  </headerFooter>
  <rowBreaks count="1" manualBreakCount="1">
    <brk id="59" min="1" max="9" man="1"/>
  </rowBreaks>
  <ignoredErrors>
    <ignoredError sqref="J25:J73" emptyCellReference="1"/>
  </ignoredErrors>
</worksheet>
</file>

<file path=xl/worksheets/sheet13.xml><?xml version="1.0" encoding="utf-8"?>
<worksheet xmlns="http://schemas.openxmlformats.org/spreadsheetml/2006/main" xmlns:r="http://schemas.openxmlformats.org/officeDocument/2006/relationships">
  <sheetPr codeName="Sheet10"/>
  <dimension ref="B1:E32"/>
  <sheetViews>
    <sheetView zoomScalePageLayoutView="0" workbookViewId="0" topLeftCell="A1">
      <selection activeCell="C25" sqref="C25"/>
    </sheetView>
  </sheetViews>
  <sheetFormatPr defaultColWidth="11.421875" defaultRowHeight="12.75"/>
  <cols>
    <col min="1" max="1" width="4.28125" style="46" customWidth="1"/>
    <col min="2" max="2" width="11.00390625" style="0" customWidth="1"/>
    <col min="3" max="3" width="20.28125" style="0" customWidth="1"/>
    <col min="4" max="4" width="27.140625" style="0" customWidth="1"/>
    <col min="5" max="5" width="37.7109375" style="0" customWidth="1"/>
    <col min="6" max="26" width="11.421875" style="46" customWidth="1"/>
  </cols>
  <sheetData>
    <row r="1" spans="2:5" ht="12.75">
      <c r="B1" s="46"/>
      <c r="C1" s="46"/>
      <c r="D1" s="46"/>
      <c r="E1" s="46"/>
    </row>
    <row r="2" spans="2:5" ht="19.5" customHeight="1">
      <c r="B2" s="342" t="s">
        <v>143</v>
      </c>
      <c r="C2" s="358"/>
      <c r="D2" s="358"/>
      <c r="E2" s="358"/>
    </row>
    <row r="3" spans="2:5" ht="6" customHeight="1">
      <c r="B3" s="356"/>
      <c r="C3" s="357"/>
      <c r="D3" s="357"/>
      <c r="E3" s="357"/>
    </row>
    <row r="4" spans="2:5" ht="33.75" customHeight="1">
      <c r="B4" s="359" t="s">
        <v>222</v>
      </c>
      <c r="C4" s="359" t="s">
        <v>224</v>
      </c>
      <c r="D4" s="359" t="s">
        <v>226</v>
      </c>
      <c r="E4" s="359" t="s">
        <v>227</v>
      </c>
    </row>
    <row r="5" spans="2:5" ht="15">
      <c r="B5" s="58"/>
      <c r="C5" s="58"/>
      <c r="D5" s="58"/>
      <c r="E5" s="58"/>
    </row>
    <row r="6" spans="2:5" ht="12.75">
      <c r="B6" s="56" t="s">
        <v>95</v>
      </c>
      <c r="C6" s="56" t="s">
        <v>96</v>
      </c>
      <c r="D6" s="56" t="s">
        <v>191</v>
      </c>
      <c r="E6" s="57"/>
    </row>
    <row r="7" spans="2:5" ht="12.75">
      <c r="B7" s="44"/>
      <c r="C7" s="44"/>
      <c r="D7" s="44"/>
      <c r="E7" s="44" t="s">
        <v>263</v>
      </c>
    </row>
    <row r="8" spans="2:5" ht="12.75">
      <c r="B8" s="10" t="s">
        <v>95</v>
      </c>
      <c r="C8" s="10" t="s">
        <v>232</v>
      </c>
      <c r="D8" s="10" t="s">
        <v>188</v>
      </c>
      <c r="E8" s="10" t="s">
        <v>93</v>
      </c>
    </row>
    <row r="9" spans="2:5" ht="12.75">
      <c r="B9" s="45"/>
      <c r="C9" s="45"/>
      <c r="D9" s="45"/>
      <c r="E9" s="45" t="s">
        <v>234</v>
      </c>
    </row>
    <row r="10" spans="2:5" ht="12.75">
      <c r="B10" s="8" t="s">
        <v>225</v>
      </c>
      <c r="C10" s="8" t="s">
        <v>232</v>
      </c>
      <c r="D10" s="8" t="s">
        <v>188</v>
      </c>
      <c r="E10" s="8" t="s">
        <v>93</v>
      </c>
    </row>
    <row r="11" spans="2:5" ht="12.75">
      <c r="B11" s="44"/>
      <c r="C11" s="44"/>
      <c r="D11" s="44" t="s">
        <v>189</v>
      </c>
      <c r="E11" s="44" t="s">
        <v>307</v>
      </c>
    </row>
    <row r="12" spans="2:5" ht="12.75">
      <c r="B12" s="10" t="s">
        <v>88</v>
      </c>
      <c r="C12" s="10" t="s">
        <v>266</v>
      </c>
      <c r="D12" s="10" t="s">
        <v>192</v>
      </c>
      <c r="E12" s="10" t="s">
        <v>352</v>
      </c>
    </row>
    <row r="13" spans="2:5" ht="12.75">
      <c r="B13" s="45"/>
      <c r="C13" s="45"/>
      <c r="D13" s="45"/>
      <c r="E13" s="45"/>
    </row>
    <row r="14" spans="2:5" ht="12.75">
      <c r="B14" s="8" t="s">
        <v>265</v>
      </c>
      <c r="C14" s="8" t="s">
        <v>89</v>
      </c>
      <c r="D14" s="8"/>
      <c r="E14" s="8"/>
    </row>
    <row r="15" spans="2:5" ht="12.75">
      <c r="B15" s="14"/>
      <c r="C15" s="14"/>
      <c r="D15" s="14"/>
      <c r="E15" s="14" t="s">
        <v>185</v>
      </c>
    </row>
    <row r="16" spans="2:5" ht="12.75">
      <c r="B16" s="10" t="s">
        <v>233</v>
      </c>
      <c r="C16" s="10" t="s">
        <v>232</v>
      </c>
      <c r="D16" s="10" t="s">
        <v>188</v>
      </c>
      <c r="E16" s="10" t="s">
        <v>186</v>
      </c>
    </row>
    <row r="17" spans="2:5" ht="12" customHeight="1">
      <c r="B17" s="45"/>
      <c r="C17" s="45"/>
      <c r="D17" s="45"/>
      <c r="E17" s="45"/>
    </row>
    <row r="18" spans="2:5" ht="12" customHeight="1">
      <c r="B18" s="8" t="s">
        <v>223</v>
      </c>
      <c r="C18" s="8" t="s">
        <v>228</v>
      </c>
      <c r="D18" s="8" t="s">
        <v>333</v>
      </c>
      <c r="E18" s="8"/>
    </row>
    <row r="19" spans="2:5" ht="12.75">
      <c r="B19" s="46"/>
      <c r="C19" s="46"/>
      <c r="D19" s="46"/>
      <c r="E19" s="46"/>
    </row>
    <row r="20" spans="2:5" ht="12.75">
      <c r="B20" s="46"/>
      <c r="C20" s="46"/>
      <c r="D20" s="46"/>
      <c r="E20" s="46"/>
    </row>
    <row r="21" spans="2:5" ht="12.75">
      <c r="B21" s="46"/>
      <c r="C21" s="46"/>
      <c r="D21" s="46"/>
      <c r="E21" s="46"/>
    </row>
    <row r="22" spans="2:5" ht="12.75">
      <c r="B22" s="46"/>
      <c r="C22" s="46"/>
      <c r="D22" s="46"/>
      <c r="E22" s="46"/>
    </row>
    <row r="23" spans="2:5" ht="12.75">
      <c r="B23" s="46"/>
      <c r="C23" s="46"/>
      <c r="D23" s="46"/>
      <c r="E23" s="46"/>
    </row>
    <row r="24" spans="2:5" ht="12.75">
      <c r="B24" s="46"/>
      <c r="C24" s="46"/>
      <c r="D24" s="46"/>
      <c r="E24" s="46"/>
    </row>
    <row r="25" spans="2:5" ht="12.75">
      <c r="B25" s="46"/>
      <c r="C25" s="46"/>
      <c r="D25" s="46"/>
      <c r="E25" s="46"/>
    </row>
    <row r="26" spans="2:5" ht="12.75">
      <c r="B26" s="46"/>
      <c r="C26" s="46"/>
      <c r="D26" s="46"/>
      <c r="E26" s="46"/>
    </row>
    <row r="27" spans="2:5" ht="12.75">
      <c r="B27" s="46"/>
      <c r="C27" s="46"/>
      <c r="D27" s="46"/>
      <c r="E27" s="46"/>
    </row>
    <row r="28" spans="2:5" ht="12.75">
      <c r="B28" s="46"/>
      <c r="C28" s="46"/>
      <c r="D28" s="46"/>
      <c r="E28" s="46"/>
    </row>
    <row r="29" spans="2:5" ht="12.75">
      <c r="B29" s="46"/>
      <c r="C29" s="46"/>
      <c r="D29" s="46"/>
      <c r="E29" s="46"/>
    </row>
    <row r="30" spans="2:5" ht="12.75">
      <c r="B30" s="46"/>
      <c r="C30" s="46"/>
      <c r="D30" s="46"/>
      <c r="E30" s="46"/>
    </row>
    <row r="31" spans="2:5" ht="12.75">
      <c r="B31" s="46"/>
      <c r="C31" s="46"/>
      <c r="D31" s="46"/>
      <c r="E31" s="46"/>
    </row>
    <row r="32" spans="2:5" ht="12.75">
      <c r="B32" s="46"/>
      <c r="C32" s="46"/>
      <c r="D32" s="46"/>
      <c r="E32" s="46"/>
    </row>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sheetData>
  <sheetProtection/>
  <printOptions horizontalCentered="1"/>
  <pageMargins left="0.75" right="0.75" top="1" bottom="1" header="0.5" footer="0.5"/>
  <pageSetup orientation="portrait" scale="87"/>
  <headerFooter alignWithMargins="0">
    <oddFooter>&amp;L&amp;A&amp;C&amp;F&amp;R&amp;D</oddFooter>
  </headerFooter>
  <legacyDrawing r:id="rId2"/>
</worksheet>
</file>

<file path=xl/worksheets/sheet14.xml><?xml version="1.0" encoding="utf-8"?>
<worksheet xmlns="http://schemas.openxmlformats.org/spreadsheetml/2006/main" xmlns:r="http://schemas.openxmlformats.org/officeDocument/2006/relationships">
  <sheetPr>
    <tabColor indexed="15"/>
    <pageSetUpPr fitToPage="1"/>
  </sheetPr>
  <dimension ref="A1:M106"/>
  <sheetViews>
    <sheetView zoomScalePageLayoutView="0" workbookViewId="0" topLeftCell="A42">
      <selection activeCell="C63" sqref="C63"/>
    </sheetView>
  </sheetViews>
  <sheetFormatPr defaultColWidth="8.7109375" defaultRowHeight="12.75"/>
  <cols>
    <col min="1" max="1" width="3.140625" style="46" customWidth="1"/>
    <col min="2" max="2" width="20.421875" style="46" customWidth="1"/>
    <col min="3" max="3" width="15.00390625" style="46" customWidth="1"/>
    <col min="4" max="4" width="16.421875" style="46" customWidth="1"/>
    <col min="5" max="5" width="8.7109375" style="46" customWidth="1"/>
    <col min="6" max="6" width="10.421875" style="46" customWidth="1"/>
    <col min="7" max="12" width="8.7109375" style="46" customWidth="1"/>
    <col min="13" max="13" width="10.140625" style="46" customWidth="1"/>
    <col min="14" max="16384" width="8.7109375" style="46" customWidth="1"/>
  </cols>
  <sheetData>
    <row r="1" ht="12.75"/>
    <row r="2" spans="2:13" ht="28.5" customHeight="1">
      <c r="B2" s="472" t="s">
        <v>245</v>
      </c>
      <c r="C2" s="473"/>
      <c r="D2" s="473"/>
      <c r="E2" s="473"/>
      <c r="F2" s="473"/>
      <c r="G2" s="473"/>
      <c r="H2" s="473"/>
      <c r="I2" s="473"/>
      <c r="J2" s="473"/>
      <c r="K2" s="473"/>
      <c r="L2" s="473"/>
      <c r="M2" s="473"/>
    </row>
    <row r="3" spans="2:13" ht="25.5" customHeight="1">
      <c r="B3" s="474" t="s">
        <v>13</v>
      </c>
      <c r="C3" s="475"/>
      <c r="D3" s="475"/>
      <c r="E3" s="475"/>
      <c r="F3" s="475"/>
      <c r="G3" s="475"/>
      <c r="H3" s="475"/>
      <c r="I3" s="475"/>
      <c r="J3" s="475"/>
      <c r="K3" s="475"/>
      <c r="L3" s="475"/>
      <c r="M3" s="476"/>
    </row>
    <row r="4" spans="2:13" s="149" customFormat="1" ht="38.25" customHeight="1">
      <c r="B4" s="380"/>
      <c r="C4" s="381"/>
      <c r="D4" s="456" t="s">
        <v>42</v>
      </c>
      <c r="E4" s="457"/>
      <c r="F4" s="458"/>
      <c r="G4" s="477" t="s">
        <v>43</v>
      </c>
      <c r="H4" s="478"/>
      <c r="I4" s="478"/>
      <c r="J4" s="478"/>
      <c r="K4" s="478"/>
      <c r="L4" s="479"/>
      <c r="M4" s="382" t="s">
        <v>69</v>
      </c>
    </row>
    <row r="5" spans="2:13" ht="51">
      <c r="B5" s="129" t="s">
        <v>48</v>
      </c>
      <c r="C5" s="187" t="s">
        <v>39</v>
      </c>
      <c r="D5" s="188" t="s">
        <v>40</v>
      </c>
      <c r="E5" s="188" t="s">
        <v>41</v>
      </c>
      <c r="F5" s="187" t="s">
        <v>122</v>
      </c>
      <c r="G5" s="187" t="s">
        <v>15</v>
      </c>
      <c r="H5" s="187" t="s">
        <v>17</v>
      </c>
      <c r="I5" s="187" t="s">
        <v>14</v>
      </c>
      <c r="J5" s="187" t="s">
        <v>18</v>
      </c>
      <c r="K5" s="187" t="s">
        <v>149</v>
      </c>
      <c r="L5" s="187" t="s">
        <v>148</v>
      </c>
      <c r="M5" s="188" t="s">
        <v>123</v>
      </c>
    </row>
    <row r="6" spans="2:13" ht="15" customHeight="1">
      <c r="B6" s="383" t="s">
        <v>124</v>
      </c>
      <c r="C6" s="383">
        <v>22000</v>
      </c>
      <c r="D6" s="384">
        <v>1.0685714285714287</v>
      </c>
      <c r="E6" s="384">
        <v>0.6914285714285714</v>
      </c>
      <c r="F6" s="384">
        <v>0.25142857142857145</v>
      </c>
      <c r="G6" s="384">
        <v>0.8171428571428572</v>
      </c>
      <c r="H6" s="384">
        <v>4.651428571428571</v>
      </c>
      <c r="I6" s="385">
        <f>H6/HourlyMachineLabor</f>
        <v>0.23257142857142857</v>
      </c>
      <c r="J6" s="384">
        <v>1.547</v>
      </c>
      <c r="K6" s="385">
        <f>J6/2.5</f>
        <v>0.6188</v>
      </c>
      <c r="L6" s="386">
        <v>0.273</v>
      </c>
      <c r="M6" s="384">
        <v>9.302857142857142</v>
      </c>
    </row>
    <row r="7" spans="2:13" ht="15" customHeight="1">
      <c r="B7" s="383" t="s">
        <v>51</v>
      </c>
      <c r="C7" s="383">
        <v>1000</v>
      </c>
      <c r="D7" s="384">
        <v>0.17142857142857143</v>
      </c>
      <c r="E7" s="384">
        <v>0.12857142857142856</v>
      </c>
      <c r="F7" s="384">
        <v>0.03428571428571429</v>
      </c>
      <c r="G7" s="384">
        <v>0.2857142857142857</v>
      </c>
      <c r="H7" s="384">
        <v>0.3171428571428571</v>
      </c>
      <c r="I7" s="385">
        <f aca="true" t="shared" si="0" ref="I7:I18">H7/HourlyMachineLabor</f>
        <v>0.015857142857142854</v>
      </c>
      <c r="J7" s="384">
        <v>0.1275</v>
      </c>
      <c r="K7" s="385">
        <f>J7/2.5</f>
        <v>0.051000000000000004</v>
      </c>
      <c r="L7" s="386">
        <v>0.0225</v>
      </c>
      <c r="M7" s="384">
        <v>1.0914285714285714</v>
      </c>
    </row>
    <row r="8" spans="2:13" ht="15" customHeight="1">
      <c r="B8" s="383" t="s">
        <v>52</v>
      </c>
      <c r="C8" s="383">
        <v>2000</v>
      </c>
      <c r="D8" s="384">
        <v>0.7485714285714286</v>
      </c>
      <c r="E8" s="384">
        <v>1.2514285714285713</v>
      </c>
      <c r="F8" s="384">
        <v>0.08571428571428572</v>
      </c>
      <c r="G8" s="384">
        <v>2.857142857142857</v>
      </c>
      <c r="H8" s="384">
        <v>0.6342857142857142</v>
      </c>
      <c r="I8" s="385">
        <f t="shared" si="0"/>
        <v>0.03171428571428571</v>
      </c>
      <c r="J8" s="384">
        <v>0.2635</v>
      </c>
      <c r="K8" s="385">
        <f>J8/2.5</f>
        <v>0.10540000000000001</v>
      </c>
      <c r="L8" s="386">
        <v>0.0465</v>
      </c>
      <c r="M8" s="384">
        <v>5.885714285714286</v>
      </c>
    </row>
    <row r="9" spans="2:13" ht="15" customHeight="1">
      <c r="B9" s="383" t="s">
        <v>53</v>
      </c>
      <c r="C9" s="383">
        <v>1000</v>
      </c>
      <c r="D9" s="384">
        <v>0.34285714285714286</v>
      </c>
      <c r="E9" s="384">
        <v>0.23142857142857143</v>
      </c>
      <c r="F9" s="384">
        <v>0.09714285714285714</v>
      </c>
      <c r="G9" s="384">
        <v>0.11428571428571428</v>
      </c>
      <c r="H9" s="384">
        <v>0.3171428571428571</v>
      </c>
      <c r="I9" s="385">
        <f t="shared" si="0"/>
        <v>0.015857142857142854</v>
      </c>
      <c r="J9" s="384">
        <v>0.1445</v>
      </c>
      <c r="K9" s="385">
        <f>J9/2.5</f>
        <v>0.0578</v>
      </c>
      <c r="L9" s="386">
        <v>0.0255</v>
      </c>
      <c r="M9" s="384">
        <v>1.2685714285714285</v>
      </c>
    </row>
    <row r="10" spans="2:13" ht="51">
      <c r="B10" s="130" t="s">
        <v>125</v>
      </c>
      <c r="C10" s="187" t="s">
        <v>126</v>
      </c>
      <c r="D10" s="131" t="s">
        <v>40</v>
      </c>
      <c r="E10" s="131" t="s">
        <v>41</v>
      </c>
      <c r="F10" s="189" t="s">
        <v>122</v>
      </c>
      <c r="G10" s="189" t="s">
        <v>16</v>
      </c>
      <c r="H10" s="189" t="s">
        <v>17</v>
      </c>
      <c r="I10" s="191" t="s">
        <v>14</v>
      </c>
      <c r="J10" s="189" t="s">
        <v>18</v>
      </c>
      <c r="K10" s="189" t="s">
        <v>149</v>
      </c>
      <c r="L10" s="190" t="s">
        <v>148</v>
      </c>
      <c r="M10" s="131" t="s">
        <v>123</v>
      </c>
    </row>
    <row r="11" spans="2:13" ht="15" customHeight="1">
      <c r="B11" s="383" t="s">
        <v>45</v>
      </c>
      <c r="C11" s="383">
        <v>200</v>
      </c>
      <c r="D11" s="384">
        <v>0.15714285714285714</v>
      </c>
      <c r="E11" s="384">
        <v>0.09657142857142857</v>
      </c>
      <c r="F11" s="384">
        <v>0.013142857142857144</v>
      </c>
      <c r="G11" s="384">
        <v>0.02857142857142857</v>
      </c>
      <c r="H11" s="384">
        <v>1.037142857142857</v>
      </c>
      <c r="I11" s="385">
        <f t="shared" si="0"/>
        <v>0.051857142857142845</v>
      </c>
      <c r="J11" s="384">
        <v>0.204</v>
      </c>
      <c r="K11" s="385">
        <f aca="true" t="shared" si="1" ref="K11:K18">J11/2.5</f>
        <v>0.08159999999999999</v>
      </c>
      <c r="L11" s="386">
        <v>0.036</v>
      </c>
      <c r="M11" s="384">
        <v>1.5691428571428572</v>
      </c>
    </row>
    <row r="12" spans="2:13" ht="15" customHeight="1">
      <c r="B12" s="383" t="s">
        <v>127</v>
      </c>
      <c r="C12" s="383">
        <v>100</v>
      </c>
      <c r="D12" s="384">
        <v>0.16428571428571428</v>
      </c>
      <c r="E12" s="384">
        <v>0.2377142857142857</v>
      </c>
      <c r="F12" s="384">
        <v>0.031714285714285716</v>
      </c>
      <c r="G12" s="384">
        <v>0.05714285714285714</v>
      </c>
      <c r="H12" s="384">
        <v>0.5814285714285715</v>
      </c>
      <c r="I12" s="385">
        <f t="shared" si="0"/>
        <v>0.029071428571428574</v>
      </c>
      <c r="J12" s="384">
        <v>0.1955</v>
      </c>
      <c r="K12" s="385">
        <f t="shared" si="1"/>
        <v>0.0782</v>
      </c>
      <c r="L12" s="386">
        <v>0.0345</v>
      </c>
      <c r="M12" s="384">
        <v>1.3022857142857143</v>
      </c>
    </row>
    <row r="13" spans="2:13" ht="15" customHeight="1">
      <c r="B13" s="383" t="s">
        <v>128</v>
      </c>
      <c r="C13" s="383">
        <v>250</v>
      </c>
      <c r="D13" s="384">
        <v>0.84</v>
      </c>
      <c r="E13" s="384">
        <v>0.68</v>
      </c>
      <c r="F13" s="384">
        <v>0.12</v>
      </c>
      <c r="G13" s="384">
        <v>0.51</v>
      </c>
      <c r="H13" s="384">
        <v>0.93</v>
      </c>
      <c r="I13" s="385">
        <f t="shared" si="0"/>
        <v>0.0465</v>
      </c>
      <c r="J13" s="384">
        <v>2.21</v>
      </c>
      <c r="K13" s="385">
        <f t="shared" si="1"/>
        <v>0.884</v>
      </c>
      <c r="L13" s="386">
        <v>0.39</v>
      </c>
      <c r="M13" s="384">
        <v>5.66</v>
      </c>
    </row>
    <row r="14" spans="2:13" ht="15" customHeight="1">
      <c r="B14" s="383" t="s">
        <v>192</v>
      </c>
      <c r="C14" s="383">
        <v>150</v>
      </c>
      <c r="D14" s="384">
        <v>1.91</v>
      </c>
      <c r="E14" s="384">
        <v>1.59</v>
      </c>
      <c r="F14" s="384">
        <v>0.42</v>
      </c>
      <c r="G14" s="384">
        <v>0.58</v>
      </c>
      <c r="H14" s="384">
        <v>1.22</v>
      </c>
      <c r="I14" s="385">
        <f t="shared" si="0"/>
        <v>0.061</v>
      </c>
      <c r="J14" s="384">
        <v>2.0145</v>
      </c>
      <c r="K14" s="385">
        <f t="shared" si="1"/>
        <v>0.8058</v>
      </c>
      <c r="L14" s="386">
        <v>0.3555</v>
      </c>
      <c r="M14" s="384">
        <v>8.09</v>
      </c>
    </row>
    <row r="15" spans="2:13" ht="15" customHeight="1">
      <c r="B15" s="383" t="s">
        <v>333</v>
      </c>
      <c r="C15" s="383">
        <v>240</v>
      </c>
      <c r="D15" s="384">
        <v>4.42</v>
      </c>
      <c r="E15" s="384">
        <v>3.66</v>
      </c>
      <c r="F15" s="384">
        <v>1.06</v>
      </c>
      <c r="G15" s="384">
        <v>0.83</v>
      </c>
      <c r="H15" s="384">
        <v>2.99</v>
      </c>
      <c r="I15" s="385">
        <f t="shared" si="0"/>
        <v>0.14950000000000002</v>
      </c>
      <c r="J15" s="384">
        <v>2.584</v>
      </c>
      <c r="K15" s="385">
        <f t="shared" si="1"/>
        <v>1.0336</v>
      </c>
      <c r="L15" s="386">
        <v>0.456</v>
      </c>
      <c r="M15" s="384">
        <v>15.99</v>
      </c>
    </row>
    <row r="16" spans="2:13" ht="15" customHeight="1">
      <c r="B16" s="387" t="s">
        <v>344</v>
      </c>
      <c r="C16" s="383">
        <v>30</v>
      </c>
      <c r="D16" s="384">
        <v>0.86</v>
      </c>
      <c r="E16" s="384">
        <v>0.57</v>
      </c>
      <c r="F16" s="384">
        <v>0.05</v>
      </c>
      <c r="G16" s="384">
        <v>0.39</v>
      </c>
      <c r="H16" s="384">
        <v>0.42</v>
      </c>
      <c r="I16" s="385">
        <f t="shared" si="0"/>
        <v>0.020999999999999998</v>
      </c>
      <c r="J16" s="384">
        <v>0.74</v>
      </c>
      <c r="K16" s="385">
        <f t="shared" si="1"/>
        <v>0.296</v>
      </c>
      <c r="L16" s="386">
        <v>0.11</v>
      </c>
      <c r="M16" s="384">
        <v>3.15</v>
      </c>
    </row>
    <row r="17" spans="2:13" ht="15" customHeight="1">
      <c r="B17" s="383" t="s">
        <v>130</v>
      </c>
      <c r="C17" s="383">
        <v>75</v>
      </c>
      <c r="D17" s="384">
        <v>1.23</v>
      </c>
      <c r="E17" s="384">
        <v>0.94</v>
      </c>
      <c r="F17" s="384">
        <v>0.27</v>
      </c>
      <c r="G17" s="384">
        <v>0.68</v>
      </c>
      <c r="H17" s="384">
        <v>1.86</v>
      </c>
      <c r="I17" s="385">
        <f t="shared" si="0"/>
        <v>0.093</v>
      </c>
      <c r="J17" s="384">
        <v>0.238</v>
      </c>
      <c r="K17" s="385">
        <f t="shared" si="1"/>
        <v>0.09519999999999999</v>
      </c>
      <c r="L17" s="386">
        <v>0.042</v>
      </c>
      <c r="M17" s="384">
        <v>6.5</v>
      </c>
    </row>
    <row r="18" spans="2:13" ht="15" customHeight="1">
      <c r="B18" s="383" t="s">
        <v>129</v>
      </c>
      <c r="C18" s="383">
        <v>150</v>
      </c>
      <c r="D18" s="384">
        <v>0.13</v>
      </c>
      <c r="E18" s="384">
        <v>0.1</v>
      </c>
      <c r="F18" s="384">
        <v>0.02</v>
      </c>
      <c r="G18" s="384">
        <v>0.08</v>
      </c>
      <c r="H18" s="384">
        <v>0.37</v>
      </c>
      <c r="I18" s="385">
        <f t="shared" si="0"/>
        <v>0.0185</v>
      </c>
      <c r="J18" s="384">
        <v>0.59</v>
      </c>
      <c r="K18" s="385">
        <f t="shared" si="1"/>
        <v>0.236</v>
      </c>
      <c r="L18" s="386">
        <v>0.09</v>
      </c>
      <c r="M18" s="384">
        <v>1.38</v>
      </c>
    </row>
    <row r="19" ht="12.75">
      <c r="B19" s="160" t="s">
        <v>348</v>
      </c>
    </row>
    <row r="20" ht="12.75">
      <c r="B20" s="160"/>
    </row>
    <row r="21" spans="2:4" ht="24.75" customHeight="1">
      <c r="B21" s="480" t="s">
        <v>150</v>
      </c>
      <c r="C21" s="480"/>
      <c r="D21" s="480"/>
    </row>
    <row r="22" spans="2:4" ht="16.5" customHeight="1">
      <c r="B22" s="481" t="s">
        <v>292</v>
      </c>
      <c r="C22" s="482"/>
      <c r="D22" s="483"/>
    </row>
    <row r="23" spans="2:5" ht="12.75" customHeight="1">
      <c r="B23" s="469" t="s">
        <v>256</v>
      </c>
      <c r="C23" s="470"/>
      <c r="D23" s="471"/>
      <c r="E23" s="217"/>
    </row>
    <row r="24" spans="2:5" ht="14.25">
      <c r="B24" s="465" t="s">
        <v>247</v>
      </c>
      <c r="C24" s="466"/>
      <c r="D24" s="467"/>
      <c r="E24" s="217"/>
    </row>
    <row r="25" spans="2:5" ht="14.25">
      <c r="B25" s="465" t="s">
        <v>257</v>
      </c>
      <c r="C25" s="466"/>
      <c r="D25" s="467"/>
      <c r="E25" s="217"/>
    </row>
    <row r="26" spans="2:5" ht="14.25">
      <c r="B26" s="465" t="s">
        <v>306</v>
      </c>
      <c r="C26" s="466"/>
      <c r="D26" s="467"/>
      <c r="E26" s="217"/>
    </row>
    <row r="28" spans="2:13" ht="39.75" customHeight="1">
      <c r="B28" s="468" t="s">
        <v>22</v>
      </c>
      <c r="C28" s="430"/>
      <c r="D28" s="430"/>
      <c r="E28" s="430"/>
      <c r="F28" s="430"/>
      <c r="G28" s="430"/>
      <c r="H28" s="430"/>
      <c r="I28" s="430"/>
      <c r="J28" s="430"/>
      <c r="K28" s="430"/>
      <c r="L28" s="430"/>
      <c r="M28" s="431"/>
    </row>
    <row r="29" spans="2:13" ht="41.25" customHeight="1">
      <c r="B29" s="380"/>
      <c r="C29" s="381"/>
      <c r="D29" s="456" t="s">
        <v>42</v>
      </c>
      <c r="E29" s="457"/>
      <c r="F29" s="458"/>
      <c r="G29" s="456" t="s">
        <v>43</v>
      </c>
      <c r="H29" s="457"/>
      <c r="I29" s="457"/>
      <c r="J29" s="463"/>
      <c r="K29" s="463"/>
      <c r="L29" s="464"/>
      <c r="M29" s="388" t="s">
        <v>69</v>
      </c>
    </row>
    <row r="30" spans="2:13" ht="51">
      <c r="B30" s="129" t="s">
        <v>48</v>
      </c>
      <c r="C30" s="187" t="s">
        <v>39</v>
      </c>
      <c r="D30" s="188" t="s">
        <v>40</v>
      </c>
      <c r="E30" s="188" t="s">
        <v>41</v>
      </c>
      <c r="F30" s="187" t="s">
        <v>122</v>
      </c>
      <c r="G30" s="187" t="s">
        <v>16</v>
      </c>
      <c r="H30" s="187" t="s">
        <v>17</v>
      </c>
      <c r="I30" s="187" t="s">
        <v>14</v>
      </c>
      <c r="J30" s="187" t="s">
        <v>18</v>
      </c>
      <c r="K30" s="187" t="s">
        <v>149</v>
      </c>
      <c r="L30" s="187" t="s">
        <v>148</v>
      </c>
      <c r="M30" s="188" t="s">
        <v>123</v>
      </c>
    </row>
    <row r="31" spans="2:13" ht="15" customHeight="1">
      <c r="B31" s="383" t="s">
        <v>124</v>
      </c>
      <c r="C31" s="383">
        <f>$C$6</f>
        <v>22000</v>
      </c>
      <c r="D31" s="384">
        <f>$D$6</f>
        <v>1.0685714285714287</v>
      </c>
      <c r="E31" s="384">
        <f>$E$6</f>
        <v>0.6914285714285714</v>
      </c>
      <c r="F31" s="384">
        <f>$F$6</f>
        <v>0.25142857142857145</v>
      </c>
      <c r="G31" s="384">
        <f>$G$6</f>
        <v>0.8171428571428572</v>
      </c>
      <c r="H31" s="384">
        <f>$H$6</f>
        <v>4.651428571428571</v>
      </c>
      <c r="I31" s="389">
        <f>$I$6</f>
        <v>0.23257142857142857</v>
      </c>
      <c r="J31" s="384">
        <f>$J$6</f>
        <v>1.547</v>
      </c>
      <c r="K31" s="390">
        <f>$K$6</f>
        <v>0.6188</v>
      </c>
      <c r="L31" s="386">
        <f>$L$6</f>
        <v>0.273</v>
      </c>
      <c r="M31" s="384">
        <f>$M$6</f>
        <v>9.302857142857142</v>
      </c>
    </row>
    <row r="32" spans="2:13" ht="15" customHeight="1">
      <c r="B32" s="383" t="s">
        <v>51</v>
      </c>
      <c r="C32" s="383">
        <f>$C$7</f>
        <v>1000</v>
      </c>
      <c r="D32" s="384">
        <f>$D$7</f>
        <v>0.17142857142857143</v>
      </c>
      <c r="E32" s="384">
        <f>$E$7</f>
        <v>0.12857142857142856</v>
      </c>
      <c r="F32" s="384">
        <f>$F$7</f>
        <v>0.03428571428571429</v>
      </c>
      <c r="G32" s="384">
        <f>$G$7</f>
        <v>0.2857142857142857</v>
      </c>
      <c r="H32" s="384">
        <f>$H$7</f>
        <v>0.3171428571428571</v>
      </c>
      <c r="I32" s="389">
        <f>$I$7</f>
        <v>0.015857142857142854</v>
      </c>
      <c r="J32" s="384">
        <f>$J$7</f>
        <v>0.1275</v>
      </c>
      <c r="K32" s="390">
        <f>$K$7</f>
        <v>0.051000000000000004</v>
      </c>
      <c r="L32" s="386">
        <f>$L$7</f>
        <v>0.0225</v>
      </c>
      <c r="M32" s="384">
        <f>$M$7</f>
        <v>1.0914285714285714</v>
      </c>
    </row>
    <row r="33" spans="2:13" ht="15" customHeight="1">
      <c r="B33" s="383" t="s">
        <v>52</v>
      </c>
      <c r="C33" s="383">
        <f>$C$8</f>
        <v>2000</v>
      </c>
      <c r="D33" s="384">
        <f>$D$8</f>
        <v>0.7485714285714286</v>
      </c>
      <c r="E33" s="384">
        <f>$E$8</f>
        <v>1.2514285714285713</v>
      </c>
      <c r="F33" s="384">
        <f>$F$8</f>
        <v>0.08571428571428572</v>
      </c>
      <c r="G33" s="384">
        <f>$G$8</f>
        <v>2.857142857142857</v>
      </c>
      <c r="H33" s="384">
        <f>$H$8</f>
        <v>0.6342857142857142</v>
      </c>
      <c r="I33" s="389">
        <f>$I$8</f>
        <v>0.03171428571428571</v>
      </c>
      <c r="J33" s="384">
        <f>$J$8</f>
        <v>0.2635</v>
      </c>
      <c r="K33" s="390">
        <f>$K$8</f>
        <v>0.10540000000000001</v>
      </c>
      <c r="L33" s="386">
        <f>$L$8</f>
        <v>0.0465</v>
      </c>
      <c r="M33" s="384">
        <f>$M$8</f>
        <v>5.885714285714286</v>
      </c>
    </row>
    <row r="34" spans="2:13" ht="15" customHeight="1">
      <c r="B34" s="383" t="s">
        <v>53</v>
      </c>
      <c r="C34" s="383">
        <f>$C$9</f>
        <v>1000</v>
      </c>
      <c r="D34" s="384">
        <f>$D$9</f>
        <v>0.34285714285714286</v>
      </c>
      <c r="E34" s="384">
        <f>$E$9</f>
        <v>0.23142857142857143</v>
      </c>
      <c r="F34" s="384">
        <f>$F$9</f>
        <v>0.09714285714285714</v>
      </c>
      <c r="G34" s="384">
        <f>$G$9</f>
        <v>0.11428571428571428</v>
      </c>
      <c r="H34" s="384">
        <f>$H$9</f>
        <v>0.3171428571428571</v>
      </c>
      <c r="I34" s="389">
        <f>$I$9</f>
        <v>0.015857142857142854</v>
      </c>
      <c r="J34" s="384">
        <f>$J$9</f>
        <v>0.1445</v>
      </c>
      <c r="K34" s="390">
        <f>$K$9</f>
        <v>0.0578</v>
      </c>
      <c r="L34" s="386">
        <f>$L$9</f>
        <v>0.0255</v>
      </c>
      <c r="M34" s="384">
        <f>$M$9</f>
        <v>1.2685714285714285</v>
      </c>
    </row>
    <row r="35" spans="2:13" ht="51">
      <c r="B35" s="130" t="s">
        <v>125</v>
      </c>
      <c r="C35" s="187" t="s">
        <v>126</v>
      </c>
      <c r="D35" s="131" t="s">
        <v>40</v>
      </c>
      <c r="E35" s="131" t="s">
        <v>41</v>
      </c>
      <c r="F35" s="189" t="s">
        <v>122</v>
      </c>
      <c r="G35" s="189" t="s">
        <v>16</v>
      </c>
      <c r="H35" s="189" t="s">
        <v>17</v>
      </c>
      <c r="I35" s="189" t="s">
        <v>14</v>
      </c>
      <c r="J35" s="189" t="s">
        <v>18</v>
      </c>
      <c r="K35" s="189" t="s">
        <v>149</v>
      </c>
      <c r="L35" s="190" t="s">
        <v>148</v>
      </c>
      <c r="M35" s="131" t="s">
        <v>123</v>
      </c>
    </row>
    <row r="36" spans="2:13" ht="15" customHeight="1">
      <c r="B36" s="383" t="s">
        <v>45</v>
      </c>
      <c r="C36" s="383">
        <f>$C$11</f>
        <v>200</v>
      </c>
      <c r="D36" s="384">
        <f>$D$11</f>
        <v>0.15714285714285714</v>
      </c>
      <c r="E36" s="384">
        <f>$E$11</f>
        <v>0.09657142857142857</v>
      </c>
      <c r="F36" s="384">
        <f>$F$11</f>
        <v>0.013142857142857144</v>
      </c>
      <c r="G36" s="384">
        <f>$G$11</f>
        <v>0.02857142857142857</v>
      </c>
      <c r="H36" s="384">
        <f>$H$11</f>
        <v>1.037142857142857</v>
      </c>
      <c r="I36" s="390">
        <f>$I$11</f>
        <v>0.051857142857142845</v>
      </c>
      <c r="J36" s="384">
        <f>$J$11</f>
        <v>0.204</v>
      </c>
      <c r="K36" s="390">
        <f>$K$11</f>
        <v>0.08159999999999999</v>
      </c>
      <c r="L36" s="386">
        <f>$L$11</f>
        <v>0.036</v>
      </c>
      <c r="M36" s="384">
        <f>$M$11</f>
        <v>1.5691428571428572</v>
      </c>
    </row>
    <row r="37" spans="2:13" ht="15" customHeight="1">
      <c r="B37" s="383" t="s">
        <v>127</v>
      </c>
      <c r="C37" s="383">
        <f>$C$12</f>
        <v>100</v>
      </c>
      <c r="D37" s="384">
        <f>$D$12</f>
        <v>0.16428571428571428</v>
      </c>
      <c r="E37" s="384">
        <f>$E$12</f>
        <v>0.2377142857142857</v>
      </c>
      <c r="F37" s="384">
        <f>$F$12</f>
        <v>0.031714285714285716</v>
      </c>
      <c r="G37" s="384">
        <f>$G$12</f>
        <v>0.05714285714285714</v>
      </c>
      <c r="H37" s="384">
        <f>$H$12</f>
        <v>0.5814285714285715</v>
      </c>
      <c r="I37" s="390">
        <f>$I$12</f>
        <v>0.029071428571428574</v>
      </c>
      <c r="J37" s="384">
        <f>$J$12</f>
        <v>0.1955</v>
      </c>
      <c r="K37" s="390">
        <f>$K$12</f>
        <v>0.0782</v>
      </c>
      <c r="L37" s="386">
        <f>$L$12</f>
        <v>0.0345</v>
      </c>
      <c r="M37" s="384">
        <f>$M$12</f>
        <v>1.3022857142857143</v>
      </c>
    </row>
    <row r="38" spans="2:13" ht="15" customHeight="1">
      <c r="B38" s="391" t="s">
        <v>21</v>
      </c>
      <c r="C38" s="392"/>
      <c r="D38" s="393"/>
      <c r="E38" s="393"/>
      <c r="F38" s="393"/>
      <c r="G38" s="393"/>
      <c r="H38" s="393"/>
      <c r="I38" s="394"/>
      <c r="J38" s="393"/>
      <c r="K38" s="394"/>
      <c r="L38" s="393"/>
      <c r="M38" s="395"/>
    </row>
    <row r="39" spans="2:13" ht="15" customHeight="1">
      <c r="B39" s="383" t="s">
        <v>129</v>
      </c>
      <c r="C39" s="383">
        <f>$C$18</f>
        <v>150</v>
      </c>
      <c r="D39" s="384">
        <f>$D$18</f>
        <v>0.13</v>
      </c>
      <c r="E39" s="384">
        <f>$E$18</f>
        <v>0.1</v>
      </c>
      <c r="F39" s="384">
        <f>$F$18</f>
        <v>0.02</v>
      </c>
      <c r="G39" s="384">
        <f>$G$18</f>
        <v>0.08</v>
      </c>
      <c r="H39" s="384">
        <f>$H$18</f>
        <v>0.37</v>
      </c>
      <c r="I39" s="390">
        <f>$I$18</f>
        <v>0.0185</v>
      </c>
      <c r="J39" s="384">
        <f>$J$18</f>
        <v>0.59</v>
      </c>
      <c r="K39" s="390">
        <f>$K$18</f>
        <v>0.236</v>
      </c>
      <c r="L39" s="386">
        <f>$L$18</f>
        <v>0.09</v>
      </c>
      <c r="M39" s="384">
        <f>$M$18</f>
        <v>1.38</v>
      </c>
    </row>
    <row r="40" spans="2:13" ht="15" customHeight="1">
      <c r="B40" s="383" t="s">
        <v>129</v>
      </c>
      <c r="C40" s="383">
        <f>$C$18</f>
        <v>150</v>
      </c>
      <c r="D40" s="384">
        <f>$D$18</f>
        <v>0.13</v>
      </c>
      <c r="E40" s="384">
        <f>$E$18</f>
        <v>0.1</v>
      </c>
      <c r="F40" s="384">
        <f>$F$18</f>
        <v>0.02</v>
      </c>
      <c r="G40" s="384">
        <f>$G$18</f>
        <v>0.08</v>
      </c>
      <c r="H40" s="384">
        <f>$H$18</f>
        <v>0.37</v>
      </c>
      <c r="I40" s="390">
        <f>$I$18</f>
        <v>0.0185</v>
      </c>
      <c r="J40" s="384">
        <f>$J$18</f>
        <v>0.59</v>
      </c>
      <c r="K40" s="390">
        <f>$K$18</f>
        <v>0.236</v>
      </c>
      <c r="L40" s="386">
        <f>$L$18</f>
        <v>0.09</v>
      </c>
      <c r="M40" s="384">
        <f>$M$18</f>
        <v>1.38</v>
      </c>
    </row>
    <row r="41" spans="2:13" ht="15" customHeight="1">
      <c r="B41" s="383" t="s">
        <v>129</v>
      </c>
      <c r="C41" s="383">
        <f>$C$18</f>
        <v>150</v>
      </c>
      <c r="D41" s="384">
        <f>$D$18</f>
        <v>0.13</v>
      </c>
      <c r="E41" s="384">
        <f>$E$18</f>
        <v>0.1</v>
      </c>
      <c r="F41" s="384">
        <f>$F$18</f>
        <v>0.02</v>
      </c>
      <c r="G41" s="384">
        <f>$G$18</f>
        <v>0.08</v>
      </c>
      <c r="H41" s="384">
        <f>$H$18</f>
        <v>0.37</v>
      </c>
      <c r="I41" s="390">
        <f>$I$18</f>
        <v>0.0185</v>
      </c>
      <c r="J41" s="384">
        <f>$J$18</f>
        <v>0.59</v>
      </c>
      <c r="K41" s="390">
        <f>$K$18</f>
        <v>0.236</v>
      </c>
      <c r="L41" s="386">
        <f>$L$18</f>
        <v>0.09</v>
      </c>
      <c r="M41" s="384">
        <f>$M$18</f>
        <v>1.38</v>
      </c>
    </row>
    <row r="42" spans="2:13" s="53" customFormat="1" ht="12.75">
      <c r="B42" s="178" t="s">
        <v>144</v>
      </c>
      <c r="C42" s="178"/>
      <c r="D42" s="179">
        <f>SUM(D31:D41)</f>
        <v>3.0428571428571427</v>
      </c>
      <c r="E42" s="179">
        <f aca="true" t="shared" si="2" ref="E42:M42">SUM(E31:E41)</f>
        <v>2.937142857142857</v>
      </c>
      <c r="F42" s="179">
        <f t="shared" si="2"/>
        <v>0.5734285714285715</v>
      </c>
      <c r="G42" s="179">
        <f t="shared" si="2"/>
        <v>4.3999999999999995</v>
      </c>
      <c r="H42" s="179">
        <f t="shared" si="2"/>
        <v>8.648571428571426</v>
      </c>
      <c r="I42" s="245">
        <f>SUM(I31:I41)</f>
        <v>0.43242857142857144</v>
      </c>
      <c r="J42" s="179">
        <f t="shared" si="2"/>
        <v>4.252</v>
      </c>
      <c r="K42" s="245">
        <f>SUM(K31:K41)</f>
        <v>1.7008</v>
      </c>
      <c r="L42" s="179">
        <f t="shared" si="2"/>
        <v>0.708</v>
      </c>
      <c r="M42" s="179">
        <f t="shared" si="2"/>
        <v>24.559999999999995</v>
      </c>
    </row>
    <row r="43" spans="8:11" ht="12.75">
      <c r="H43" s="461"/>
      <c r="I43" s="186"/>
      <c r="J43" s="461"/>
      <c r="K43" s="192"/>
    </row>
    <row r="44" spans="2:11" ht="15">
      <c r="B44" s="193" t="s">
        <v>23</v>
      </c>
      <c r="H44" s="462"/>
      <c r="I44" s="185"/>
      <c r="J44" s="462"/>
      <c r="K44" s="185"/>
    </row>
    <row r="45" spans="8:11" ht="12.75">
      <c r="H45" s="180"/>
      <c r="I45" s="180"/>
      <c r="J45" s="180"/>
      <c r="K45" s="180"/>
    </row>
    <row r="46" spans="2:13" ht="39.75" customHeight="1">
      <c r="B46" s="468" t="s">
        <v>24</v>
      </c>
      <c r="C46" s="430"/>
      <c r="D46" s="430"/>
      <c r="E46" s="430"/>
      <c r="F46" s="430"/>
      <c r="G46" s="430"/>
      <c r="H46" s="430"/>
      <c r="I46" s="430"/>
      <c r="J46" s="430"/>
      <c r="K46" s="430"/>
      <c r="L46" s="430"/>
      <c r="M46" s="431"/>
    </row>
    <row r="47" spans="2:13" ht="40.5" customHeight="1">
      <c r="B47" s="380"/>
      <c r="C47" s="381"/>
      <c r="D47" s="456" t="s">
        <v>42</v>
      </c>
      <c r="E47" s="457"/>
      <c r="F47" s="458"/>
      <c r="G47" s="456" t="s">
        <v>43</v>
      </c>
      <c r="H47" s="457"/>
      <c r="I47" s="457"/>
      <c r="J47" s="457"/>
      <c r="K47" s="457"/>
      <c r="L47" s="458"/>
      <c r="M47" s="388" t="s">
        <v>69</v>
      </c>
    </row>
    <row r="48" spans="2:13" ht="51">
      <c r="B48" s="129" t="s">
        <v>48</v>
      </c>
      <c r="C48" s="187" t="s">
        <v>39</v>
      </c>
      <c r="D48" s="188" t="s">
        <v>40</v>
      </c>
      <c r="E48" s="188" t="s">
        <v>41</v>
      </c>
      <c r="F48" s="187" t="s">
        <v>122</v>
      </c>
      <c r="G48" s="187" t="s">
        <v>25</v>
      </c>
      <c r="H48" s="187" t="s">
        <v>17</v>
      </c>
      <c r="I48" s="187" t="s">
        <v>14</v>
      </c>
      <c r="J48" s="187" t="s">
        <v>18</v>
      </c>
      <c r="K48" s="187" t="s">
        <v>149</v>
      </c>
      <c r="L48" s="187" t="s">
        <v>148</v>
      </c>
      <c r="M48" s="188" t="s">
        <v>123</v>
      </c>
    </row>
    <row r="49" spans="2:13" ht="15" customHeight="1">
      <c r="B49" s="383" t="s">
        <v>124</v>
      </c>
      <c r="C49" s="383">
        <f>$C$6</f>
        <v>22000</v>
      </c>
      <c r="D49" s="384">
        <f>$D$6</f>
        <v>1.0685714285714287</v>
      </c>
      <c r="E49" s="384">
        <f>$E$6</f>
        <v>0.6914285714285714</v>
      </c>
      <c r="F49" s="384">
        <f>$F$6</f>
        <v>0.25142857142857145</v>
      </c>
      <c r="G49" s="384">
        <f>$G$6</f>
        <v>0.8171428571428572</v>
      </c>
      <c r="H49" s="384">
        <f>$H$6</f>
        <v>4.651428571428571</v>
      </c>
      <c r="I49" s="390">
        <f>$I$6</f>
        <v>0.23257142857142857</v>
      </c>
      <c r="J49" s="384">
        <f>$J$6</f>
        <v>1.547</v>
      </c>
      <c r="K49" s="390">
        <f>$K$6</f>
        <v>0.6188</v>
      </c>
      <c r="L49" s="386">
        <f>$L$6</f>
        <v>0.273</v>
      </c>
      <c r="M49" s="384">
        <f>$M$6</f>
        <v>9.302857142857142</v>
      </c>
    </row>
    <row r="50" spans="2:13" ht="15" customHeight="1">
      <c r="B50" s="383" t="s">
        <v>51</v>
      </c>
      <c r="C50" s="383">
        <f>$C$7</f>
        <v>1000</v>
      </c>
      <c r="D50" s="384">
        <f>$D$7</f>
        <v>0.17142857142857143</v>
      </c>
      <c r="E50" s="384">
        <f>$E$7</f>
        <v>0.12857142857142856</v>
      </c>
      <c r="F50" s="384">
        <f>$F$7</f>
        <v>0.03428571428571429</v>
      </c>
      <c r="G50" s="384">
        <f>$G$7</f>
        <v>0.2857142857142857</v>
      </c>
      <c r="H50" s="384">
        <f>$H$7</f>
        <v>0.3171428571428571</v>
      </c>
      <c r="I50" s="390">
        <f>$I$7</f>
        <v>0.015857142857142854</v>
      </c>
      <c r="J50" s="384">
        <f>$J$7</f>
        <v>0.1275</v>
      </c>
      <c r="K50" s="390">
        <f>$K$7</f>
        <v>0.051000000000000004</v>
      </c>
      <c r="L50" s="386">
        <f>$L$7</f>
        <v>0.0225</v>
      </c>
      <c r="M50" s="384">
        <f>$M$7</f>
        <v>1.0914285714285714</v>
      </c>
    </row>
    <row r="51" spans="2:13" ht="15" customHeight="1">
      <c r="B51" s="383" t="s">
        <v>52</v>
      </c>
      <c r="C51" s="383">
        <f>$C$8</f>
        <v>2000</v>
      </c>
      <c r="D51" s="384">
        <f>$D$8</f>
        <v>0.7485714285714286</v>
      </c>
      <c r="E51" s="384">
        <f>$E$8</f>
        <v>1.2514285714285713</v>
      </c>
      <c r="F51" s="384">
        <f>$F$8</f>
        <v>0.08571428571428572</v>
      </c>
      <c r="G51" s="384">
        <f>$G$8</f>
        <v>2.857142857142857</v>
      </c>
      <c r="H51" s="384">
        <f>$H$8</f>
        <v>0.6342857142857142</v>
      </c>
      <c r="I51" s="390">
        <f>$I$8</f>
        <v>0.03171428571428571</v>
      </c>
      <c r="J51" s="384">
        <f>$J$8</f>
        <v>0.2635</v>
      </c>
      <c r="K51" s="390">
        <f>$K$8</f>
        <v>0.10540000000000001</v>
      </c>
      <c r="L51" s="386">
        <f>$L$8</f>
        <v>0.0465</v>
      </c>
      <c r="M51" s="384">
        <f>$M$8</f>
        <v>5.885714285714286</v>
      </c>
    </row>
    <row r="52" spans="2:13" ht="15" customHeight="1">
      <c r="B52" s="383" t="s">
        <v>53</v>
      </c>
      <c r="C52" s="383">
        <f>$C$9</f>
        <v>1000</v>
      </c>
      <c r="D52" s="384">
        <f>$D$9</f>
        <v>0.34285714285714286</v>
      </c>
      <c r="E52" s="384">
        <f>$E$9</f>
        <v>0.23142857142857143</v>
      </c>
      <c r="F52" s="384">
        <f>$F$9</f>
        <v>0.09714285714285714</v>
      </c>
      <c r="G52" s="384">
        <f>$G$9</f>
        <v>0.11428571428571428</v>
      </c>
      <c r="H52" s="384">
        <f>$H$9</f>
        <v>0.3171428571428571</v>
      </c>
      <c r="I52" s="390">
        <f>$I$9</f>
        <v>0.015857142857142854</v>
      </c>
      <c r="J52" s="384">
        <f>$J$9</f>
        <v>0.1445</v>
      </c>
      <c r="K52" s="390">
        <f>$K$9</f>
        <v>0.0578</v>
      </c>
      <c r="L52" s="386">
        <f>$L$9</f>
        <v>0.0255</v>
      </c>
      <c r="M52" s="384">
        <f>$M$9</f>
        <v>1.2685714285714285</v>
      </c>
    </row>
    <row r="53" spans="2:13" ht="51">
      <c r="B53" s="130" t="s">
        <v>125</v>
      </c>
      <c r="C53" s="187" t="s">
        <v>126</v>
      </c>
      <c r="D53" s="131" t="s">
        <v>40</v>
      </c>
      <c r="E53" s="131" t="s">
        <v>41</v>
      </c>
      <c r="F53" s="189" t="s">
        <v>122</v>
      </c>
      <c r="G53" s="189" t="s">
        <v>16</v>
      </c>
      <c r="H53" s="189" t="s">
        <v>17</v>
      </c>
      <c r="I53" s="189" t="s">
        <v>14</v>
      </c>
      <c r="J53" s="189" t="s">
        <v>18</v>
      </c>
      <c r="K53" s="189" t="s">
        <v>149</v>
      </c>
      <c r="L53" s="190" t="s">
        <v>148</v>
      </c>
      <c r="M53" s="131" t="s">
        <v>123</v>
      </c>
    </row>
    <row r="54" spans="2:13" ht="15" customHeight="1">
      <c r="B54" s="383" t="s">
        <v>45</v>
      </c>
      <c r="C54" s="383">
        <f>$C$11</f>
        <v>200</v>
      </c>
      <c r="D54" s="384">
        <f>$D$11</f>
        <v>0.15714285714285714</v>
      </c>
      <c r="E54" s="384">
        <f>$E$11</f>
        <v>0.09657142857142857</v>
      </c>
      <c r="F54" s="384">
        <f>$F$11</f>
        <v>0.013142857142857144</v>
      </c>
      <c r="G54" s="384">
        <f>$G$11</f>
        <v>0.02857142857142857</v>
      </c>
      <c r="H54" s="384">
        <f>$H$11</f>
        <v>1.037142857142857</v>
      </c>
      <c r="I54" s="390">
        <f>$I$11</f>
        <v>0.051857142857142845</v>
      </c>
      <c r="J54" s="384">
        <f>$J$11</f>
        <v>0.204</v>
      </c>
      <c r="K54" s="390">
        <f>$K$11</f>
        <v>0.08159999999999999</v>
      </c>
      <c r="L54" s="386">
        <f>$L$11</f>
        <v>0.036</v>
      </c>
      <c r="M54" s="384">
        <f>$M$11</f>
        <v>1.5691428571428572</v>
      </c>
    </row>
    <row r="55" spans="2:13" ht="15" customHeight="1">
      <c r="B55" s="383" t="s">
        <v>127</v>
      </c>
      <c r="C55" s="383">
        <f>$C$12</f>
        <v>100</v>
      </c>
      <c r="D55" s="384">
        <f>$D$12</f>
        <v>0.16428571428571428</v>
      </c>
      <c r="E55" s="384">
        <f>$E$12</f>
        <v>0.2377142857142857</v>
      </c>
      <c r="F55" s="384">
        <f>$F$12</f>
        <v>0.031714285714285716</v>
      </c>
      <c r="G55" s="384">
        <f>$G$12</f>
        <v>0.05714285714285714</v>
      </c>
      <c r="H55" s="384">
        <f>$H$12</f>
        <v>0.5814285714285715</v>
      </c>
      <c r="I55" s="390">
        <f>$I$12</f>
        <v>0.029071428571428574</v>
      </c>
      <c r="J55" s="384">
        <f>$J$12</f>
        <v>0.1955</v>
      </c>
      <c r="K55" s="390">
        <f>$K$12</f>
        <v>0.0782</v>
      </c>
      <c r="L55" s="386">
        <f>$L$12</f>
        <v>0.0345</v>
      </c>
      <c r="M55" s="384">
        <f>$M$12</f>
        <v>1.3022857142857143</v>
      </c>
    </row>
    <row r="56" spans="2:13" ht="15" customHeight="1">
      <c r="B56" s="383" t="s">
        <v>333</v>
      </c>
      <c r="C56" s="383">
        <f>$C$15</f>
        <v>240</v>
      </c>
      <c r="D56" s="384">
        <f>$D$15</f>
        <v>4.42</v>
      </c>
      <c r="E56" s="384">
        <f>$E$15</f>
        <v>3.66</v>
      </c>
      <c r="F56" s="384">
        <f>$F$15</f>
        <v>1.06</v>
      </c>
      <c r="G56" s="384">
        <f>$G$15</f>
        <v>0.83</v>
      </c>
      <c r="H56" s="384">
        <f>$H$15</f>
        <v>2.99</v>
      </c>
      <c r="I56" s="390">
        <f>$I$15</f>
        <v>0.14950000000000002</v>
      </c>
      <c r="J56" s="384">
        <f>$J$15</f>
        <v>2.584</v>
      </c>
      <c r="K56" s="390">
        <f>$K$15</f>
        <v>1.0336</v>
      </c>
      <c r="L56" s="386">
        <f>$L$15</f>
        <v>0.456</v>
      </c>
      <c r="M56" s="384">
        <f>$M$15</f>
        <v>15.99</v>
      </c>
    </row>
    <row r="57" spans="2:13" ht="15" customHeight="1">
      <c r="B57" s="391" t="s">
        <v>21</v>
      </c>
      <c r="C57" s="392"/>
      <c r="D57" s="393"/>
      <c r="E57" s="393"/>
      <c r="F57" s="393"/>
      <c r="G57" s="393"/>
      <c r="H57" s="393"/>
      <c r="I57" s="394"/>
      <c r="J57" s="393"/>
      <c r="K57" s="394"/>
      <c r="L57" s="393"/>
      <c r="M57" s="395"/>
    </row>
    <row r="58" spans="2:13" ht="15" customHeight="1">
      <c r="B58" s="383" t="s">
        <v>192</v>
      </c>
      <c r="C58" s="383">
        <f>$C$14</f>
        <v>150</v>
      </c>
      <c r="D58" s="384">
        <f>$D$14</f>
        <v>1.91</v>
      </c>
      <c r="E58" s="384">
        <f>$E$14</f>
        <v>1.59</v>
      </c>
      <c r="F58" s="384">
        <f>$F$14</f>
        <v>0.42</v>
      </c>
      <c r="G58" s="384">
        <f>$G$14</f>
        <v>0.58</v>
      </c>
      <c r="H58" s="384">
        <f>$H$14</f>
        <v>1.22</v>
      </c>
      <c r="I58" s="390">
        <f>$I$14</f>
        <v>0.061</v>
      </c>
      <c r="J58" s="384">
        <f>$J$14</f>
        <v>2.0145</v>
      </c>
      <c r="K58" s="390">
        <f>$K$14</f>
        <v>0.8058</v>
      </c>
      <c r="L58" s="386">
        <f>$L$14</f>
        <v>0.3555</v>
      </c>
      <c r="M58" s="384">
        <f>$M$14</f>
        <v>8.09</v>
      </c>
    </row>
    <row r="59" spans="2:13" ht="15" customHeight="1">
      <c r="B59" s="383" t="s">
        <v>129</v>
      </c>
      <c r="C59" s="383">
        <f>$C$18</f>
        <v>150</v>
      </c>
      <c r="D59" s="384">
        <f>$D$18</f>
        <v>0.13</v>
      </c>
      <c r="E59" s="384">
        <f>$E$18</f>
        <v>0.1</v>
      </c>
      <c r="F59" s="384">
        <f>$F$18</f>
        <v>0.02</v>
      </c>
      <c r="G59" s="384">
        <f>$G$18</f>
        <v>0.08</v>
      </c>
      <c r="H59" s="384">
        <f>$H$18</f>
        <v>0.37</v>
      </c>
      <c r="I59" s="390">
        <f>$I$18</f>
        <v>0.0185</v>
      </c>
      <c r="J59" s="384">
        <f>$J$18</f>
        <v>0.59</v>
      </c>
      <c r="K59" s="390">
        <f>$K$18</f>
        <v>0.236</v>
      </c>
      <c r="L59" s="386">
        <f>$L$18</f>
        <v>0.09</v>
      </c>
      <c r="M59" s="384">
        <f>$M$18</f>
        <v>1.38</v>
      </c>
    </row>
    <row r="60" spans="2:13" ht="15" customHeight="1">
      <c r="B60" s="383" t="s">
        <v>129</v>
      </c>
      <c r="C60" s="383">
        <f>$C$18</f>
        <v>150</v>
      </c>
      <c r="D60" s="384">
        <f>$D$18</f>
        <v>0.13</v>
      </c>
      <c r="E60" s="384">
        <f>$E$18</f>
        <v>0.1</v>
      </c>
      <c r="F60" s="384">
        <f>$F$18</f>
        <v>0.02</v>
      </c>
      <c r="G60" s="384">
        <f>$G$18</f>
        <v>0.08</v>
      </c>
      <c r="H60" s="384">
        <f>$H$18</f>
        <v>0.37</v>
      </c>
      <c r="I60" s="390">
        <f>$I$18</f>
        <v>0.0185</v>
      </c>
      <c r="J60" s="384">
        <f>$J$18</f>
        <v>0.59</v>
      </c>
      <c r="K60" s="390">
        <f>$K$18</f>
        <v>0.236</v>
      </c>
      <c r="L60" s="386">
        <f>$L$18</f>
        <v>0.09</v>
      </c>
      <c r="M60" s="384">
        <f>$M$18</f>
        <v>1.38</v>
      </c>
    </row>
    <row r="61" spans="2:13" ht="12.75">
      <c r="B61" s="178" t="s">
        <v>144</v>
      </c>
      <c r="C61" s="178"/>
      <c r="D61" s="179">
        <f>SUM(D49:D60)</f>
        <v>9.242857142857144</v>
      </c>
      <c r="E61" s="179">
        <f aca="true" t="shared" si="3" ref="E61:M61">SUM(E49:E60)</f>
        <v>8.087142857142856</v>
      </c>
      <c r="F61" s="179">
        <f t="shared" si="3"/>
        <v>2.0334285714285714</v>
      </c>
      <c r="G61" s="179">
        <f t="shared" si="3"/>
        <v>5.7299999999999995</v>
      </c>
      <c r="H61" s="179">
        <f t="shared" si="3"/>
        <v>12.488571428571428</v>
      </c>
      <c r="I61" s="245">
        <f>SUM(I49:I60)</f>
        <v>0.6244285714285713</v>
      </c>
      <c r="J61" s="179">
        <f t="shared" si="3"/>
        <v>8.2605</v>
      </c>
      <c r="K61" s="245">
        <f>SUM(K49:K60)</f>
        <v>3.3042</v>
      </c>
      <c r="L61" s="179">
        <f t="shared" si="3"/>
        <v>1.4295000000000002</v>
      </c>
      <c r="M61" s="179">
        <f t="shared" si="3"/>
        <v>47.260000000000005</v>
      </c>
    </row>
    <row r="62" spans="8:11" ht="12.75">
      <c r="H62" s="461"/>
      <c r="I62" s="186"/>
      <c r="J62" s="461"/>
      <c r="K62" s="192"/>
    </row>
    <row r="63" spans="2:11" ht="15">
      <c r="B63" s="193" t="s">
        <v>23</v>
      </c>
      <c r="H63" s="462"/>
      <c r="I63" s="185"/>
      <c r="J63" s="462"/>
      <c r="K63" s="185"/>
    </row>
    <row r="65" spans="2:13" ht="39.75" customHeight="1">
      <c r="B65" s="468" t="s">
        <v>26</v>
      </c>
      <c r="C65" s="430"/>
      <c r="D65" s="430"/>
      <c r="E65" s="430"/>
      <c r="F65" s="430"/>
      <c r="G65" s="430"/>
      <c r="H65" s="430"/>
      <c r="I65" s="430"/>
      <c r="J65" s="430"/>
      <c r="K65" s="430"/>
      <c r="L65" s="430"/>
      <c r="M65" s="431"/>
    </row>
    <row r="66" spans="2:13" ht="38.25" customHeight="1">
      <c r="B66" s="380"/>
      <c r="C66" s="381"/>
      <c r="D66" s="456" t="s">
        <v>42</v>
      </c>
      <c r="E66" s="457"/>
      <c r="F66" s="458"/>
      <c r="G66" s="456" t="s">
        <v>43</v>
      </c>
      <c r="H66" s="457"/>
      <c r="I66" s="457"/>
      <c r="J66" s="457"/>
      <c r="K66" s="457"/>
      <c r="L66" s="458"/>
      <c r="M66" s="388" t="s">
        <v>69</v>
      </c>
    </row>
    <row r="67" spans="2:13" ht="51">
      <c r="B67" s="129" t="s">
        <v>48</v>
      </c>
      <c r="C67" s="187" t="s">
        <v>39</v>
      </c>
      <c r="D67" s="188" t="s">
        <v>40</v>
      </c>
      <c r="E67" s="188" t="s">
        <v>41</v>
      </c>
      <c r="F67" s="187" t="s">
        <v>122</v>
      </c>
      <c r="G67" s="187" t="s">
        <v>16</v>
      </c>
      <c r="H67" s="187" t="s">
        <v>17</v>
      </c>
      <c r="I67" s="187" t="s">
        <v>14</v>
      </c>
      <c r="J67" s="187" t="s">
        <v>18</v>
      </c>
      <c r="K67" s="187" t="s">
        <v>149</v>
      </c>
      <c r="L67" s="187" t="s">
        <v>148</v>
      </c>
      <c r="M67" s="188" t="s">
        <v>123</v>
      </c>
    </row>
    <row r="68" spans="2:13" ht="15" customHeight="1">
      <c r="B68" s="383" t="s">
        <v>124</v>
      </c>
      <c r="C68" s="383">
        <f>$C$6</f>
        <v>22000</v>
      </c>
      <c r="D68" s="384">
        <f>$D$6</f>
        <v>1.0685714285714287</v>
      </c>
      <c r="E68" s="384">
        <f>$E$6</f>
        <v>0.6914285714285714</v>
      </c>
      <c r="F68" s="384">
        <f>$F$6</f>
        <v>0.25142857142857145</v>
      </c>
      <c r="G68" s="384">
        <f>$G$6</f>
        <v>0.8171428571428572</v>
      </c>
      <c r="H68" s="384">
        <f>$H$6</f>
        <v>4.651428571428571</v>
      </c>
      <c r="I68" s="390">
        <f>$I$6</f>
        <v>0.23257142857142857</v>
      </c>
      <c r="J68" s="384">
        <f>$J$6</f>
        <v>1.547</v>
      </c>
      <c r="K68" s="390">
        <f>$K$6</f>
        <v>0.6188</v>
      </c>
      <c r="L68" s="386">
        <f>$L$6</f>
        <v>0.273</v>
      </c>
      <c r="M68" s="384">
        <f>$M$6</f>
        <v>9.302857142857142</v>
      </c>
    </row>
    <row r="69" spans="2:13" ht="15" customHeight="1">
      <c r="B69" s="383" t="s">
        <v>51</v>
      </c>
      <c r="C69" s="383">
        <f>$C$7</f>
        <v>1000</v>
      </c>
      <c r="D69" s="384">
        <f>$D$7</f>
        <v>0.17142857142857143</v>
      </c>
      <c r="E69" s="384">
        <f>$E$7</f>
        <v>0.12857142857142856</v>
      </c>
      <c r="F69" s="384">
        <f>$F$7</f>
        <v>0.03428571428571429</v>
      </c>
      <c r="G69" s="384">
        <f>$G$7</f>
        <v>0.2857142857142857</v>
      </c>
      <c r="H69" s="384">
        <f>$H$7</f>
        <v>0.3171428571428571</v>
      </c>
      <c r="I69" s="390">
        <f>$I$7</f>
        <v>0.015857142857142854</v>
      </c>
      <c r="J69" s="384">
        <f>$J$7</f>
        <v>0.1275</v>
      </c>
      <c r="K69" s="390">
        <f>$K$7</f>
        <v>0.051000000000000004</v>
      </c>
      <c r="L69" s="386">
        <f>$L$7</f>
        <v>0.0225</v>
      </c>
      <c r="M69" s="384">
        <f>$M$7</f>
        <v>1.0914285714285714</v>
      </c>
    </row>
    <row r="70" spans="2:13" ht="15" customHeight="1">
      <c r="B70" s="383" t="s">
        <v>52</v>
      </c>
      <c r="C70" s="383">
        <f>$C$8</f>
        <v>2000</v>
      </c>
      <c r="D70" s="384">
        <f>$D$8</f>
        <v>0.7485714285714286</v>
      </c>
      <c r="E70" s="384">
        <f>$E$8</f>
        <v>1.2514285714285713</v>
      </c>
      <c r="F70" s="384">
        <f>$F$8</f>
        <v>0.08571428571428572</v>
      </c>
      <c r="G70" s="384">
        <f>$G$8</f>
        <v>2.857142857142857</v>
      </c>
      <c r="H70" s="384">
        <f>$H$8</f>
        <v>0.6342857142857142</v>
      </c>
      <c r="I70" s="390">
        <f>$I$8</f>
        <v>0.03171428571428571</v>
      </c>
      <c r="J70" s="384">
        <f>$J$8</f>
        <v>0.2635</v>
      </c>
      <c r="K70" s="390">
        <f>$K$8</f>
        <v>0.10540000000000001</v>
      </c>
      <c r="L70" s="386">
        <f>$L$8</f>
        <v>0.0465</v>
      </c>
      <c r="M70" s="384">
        <f>$M$8</f>
        <v>5.885714285714286</v>
      </c>
    </row>
    <row r="71" spans="2:13" ht="15" customHeight="1">
      <c r="B71" s="383" t="s">
        <v>53</v>
      </c>
      <c r="C71" s="383">
        <f>$C$9</f>
        <v>1000</v>
      </c>
      <c r="D71" s="384">
        <f>$D$9</f>
        <v>0.34285714285714286</v>
      </c>
      <c r="E71" s="384">
        <f>$E$9</f>
        <v>0.23142857142857143</v>
      </c>
      <c r="F71" s="384">
        <f>$F$9</f>
        <v>0.09714285714285714</v>
      </c>
      <c r="G71" s="384">
        <f>$G$9</f>
        <v>0.11428571428571428</v>
      </c>
      <c r="H71" s="384">
        <f>$H$9</f>
        <v>0.3171428571428571</v>
      </c>
      <c r="I71" s="390">
        <f>$I$9</f>
        <v>0.015857142857142854</v>
      </c>
      <c r="J71" s="384">
        <f>$J$9</f>
        <v>0.1445</v>
      </c>
      <c r="K71" s="390">
        <f>$K$9</f>
        <v>0.0578</v>
      </c>
      <c r="L71" s="386">
        <f>$L$9</f>
        <v>0.0255</v>
      </c>
      <c r="M71" s="384">
        <f>$M$9</f>
        <v>1.2685714285714285</v>
      </c>
    </row>
    <row r="72" spans="2:13" ht="51">
      <c r="B72" s="130" t="s">
        <v>125</v>
      </c>
      <c r="C72" s="187" t="s">
        <v>126</v>
      </c>
      <c r="D72" s="131" t="s">
        <v>40</v>
      </c>
      <c r="E72" s="131" t="s">
        <v>41</v>
      </c>
      <c r="F72" s="189" t="s">
        <v>122</v>
      </c>
      <c r="G72" s="189" t="s">
        <v>16</v>
      </c>
      <c r="H72" s="189" t="s">
        <v>17</v>
      </c>
      <c r="I72" s="189" t="s">
        <v>14</v>
      </c>
      <c r="J72" s="189" t="s">
        <v>18</v>
      </c>
      <c r="K72" s="189" t="s">
        <v>149</v>
      </c>
      <c r="L72" s="190" t="s">
        <v>148</v>
      </c>
      <c r="M72" s="131" t="s">
        <v>123</v>
      </c>
    </row>
    <row r="73" spans="2:13" ht="15" customHeight="1">
      <c r="B73" s="383" t="s">
        <v>45</v>
      </c>
      <c r="C73" s="383">
        <f>$C$11</f>
        <v>200</v>
      </c>
      <c r="D73" s="384">
        <f>$D$11</f>
        <v>0.15714285714285714</v>
      </c>
      <c r="E73" s="384">
        <f>$E$11</f>
        <v>0.09657142857142857</v>
      </c>
      <c r="F73" s="384">
        <f>$F$11</f>
        <v>0.013142857142857144</v>
      </c>
      <c r="G73" s="384">
        <f>$G$11</f>
        <v>0.02857142857142857</v>
      </c>
      <c r="H73" s="384">
        <f>$H$11</f>
        <v>1.037142857142857</v>
      </c>
      <c r="I73" s="390">
        <f>$I$11</f>
        <v>0.051857142857142845</v>
      </c>
      <c r="J73" s="384">
        <f>$J$11</f>
        <v>0.204</v>
      </c>
      <c r="K73" s="390">
        <f>$K$11</f>
        <v>0.08159999999999999</v>
      </c>
      <c r="L73" s="386">
        <f>$L$11</f>
        <v>0.036</v>
      </c>
      <c r="M73" s="384">
        <f>$M$11</f>
        <v>1.5691428571428572</v>
      </c>
    </row>
    <row r="74" spans="2:13" ht="15" customHeight="1">
      <c r="B74" s="383" t="s">
        <v>127</v>
      </c>
      <c r="C74" s="383">
        <f>$C$12</f>
        <v>100</v>
      </c>
      <c r="D74" s="384">
        <f>$D$12</f>
        <v>0.16428571428571428</v>
      </c>
      <c r="E74" s="384">
        <f>$E$12</f>
        <v>0.2377142857142857</v>
      </c>
      <c r="F74" s="384">
        <f>$F$12</f>
        <v>0.031714285714285716</v>
      </c>
      <c r="G74" s="384">
        <f>$G$12</f>
        <v>0.05714285714285714</v>
      </c>
      <c r="H74" s="384">
        <f>$H$12</f>
        <v>0.5814285714285715</v>
      </c>
      <c r="I74" s="390">
        <f>$I$12</f>
        <v>0.029071428571428574</v>
      </c>
      <c r="J74" s="384">
        <f>$J$12</f>
        <v>0.1955</v>
      </c>
      <c r="K74" s="390">
        <f>$K$12</f>
        <v>0.0782</v>
      </c>
      <c r="L74" s="386">
        <f>$L$12</f>
        <v>0.0345</v>
      </c>
      <c r="M74" s="384">
        <f>$M$12</f>
        <v>1.3022857142857143</v>
      </c>
    </row>
    <row r="75" spans="2:13" ht="15" customHeight="1">
      <c r="B75" s="383" t="s">
        <v>333</v>
      </c>
      <c r="C75" s="383">
        <f>$C$15</f>
        <v>240</v>
      </c>
      <c r="D75" s="384">
        <f>$D$15</f>
        <v>4.42</v>
      </c>
      <c r="E75" s="384">
        <f>$E$15</f>
        <v>3.66</v>
      </c>
      <c r="F75" s="384">
        <f>$F$15</f>
        <v>1.06</v>
      </c>
      <c r="G75" s="384">
        <f>$G$15</f>
        <v>0.83</v>
      </c>
      <c r="H75" s="384">
        <f>$H$15</f>
        <v>2.99</v>
      </c>
      <c r="I75" s="390">
        <f>$I$15</f>
        <v>0.14950000000000002</v>
      </c>
      <c r="J75" s="384">
        <f>$J$15</f>
        <v>2.584</v>
      </c>
      <c r="K75" s="390">
        <f>$K$15</f>
        <v>1.0336</v>
      </c>
      <c r="L75" s="386">
        <f>$L$15</f>
        <v>0.456</v>
      </c>
      <c r="M75" s="384">
        <f>$M$15</f>
        <v>15.99</v>
      </c>
    </row>
    <row r="76" spans="2:13" ht="15" customHeight="1">
      <c r="B76" s="391" t="s">
        <v>21</v>
      </c>
      <c r="C76" s="392"/>
      <c r="D76" s="393"/>
      <c r="E76" s="393"/>
      <c r="F76" s="393"/>
      <c r="G76" s="393"/>
      <c r="H76" s="393"/>
      <c r="I76" s="394"/>
      <c r="J76" s="393"/>
      <c r="K76" s="394"/>
      <c r="L76" s="393"/>
      <c r="M76" s="395"/>
    </row>
    <row r="77" spans="2:13" ht="15" customHeight="1">
      <c r="B77" s="383" t="s">
        <v>192</v>
      </c>
      <c r="C77" s="383">
        <f>$C$14</f>
        <v>150</v>
      </c>
      <c r="D77" s="384">
        <f>$D$14</f>
        <v>1.91</v>
      </c>
      <c r="E77" s="384">
        <f>$E$14</f>
        <v>1.59</v>
      </c>
      <c r="F77" s="384">
        <f>$F$14</f>
        <v>0.42</v>
      </c>
      <c r="G77" s="384">
        <f>$G$14</f>
        <v>0.58</v>
      </c>
      <c r="H77" s="384">
        <f>$H$14</f>
        <v>1.22</v>
      </c>
      <c r="I77" s="390">
        <f>$I$14</f>
        <v>0.061</v>
      </c>
      <c r="J77" s="384">
        <f>$J$14</f>
        <v>2.0145</v>
      </c>
      <c r="K77" s="390">
        <f>$K$14</f>
        <v>0.8058</v>
      </c>
      <c r="L77" s="386">
        <f>$L$14</f>
        <v>0.3555</v>
      </c>
      <c r="M77" s="384">
        <f>$M$14</f>
        <v>8.09</v>
      </c>
    </row>
    <row r="78" spans="2:13" ht="15" customHeight="1">
      <c r="B78" s="383" t="s">
        <v>130</v>
      </c>
      <c r="C78" s="383">
        <f>$C$17</f>
        <v>75</v>
      </c>
      <c r="D78" s="384">
        <f>$D$17</f>
        <v>1.23</v>
      </c>
      <c r="E78" s="384">
        <f>$E$17</f>
        <v>0.94</v>
      </c>
      <c r="F78" s="384">
        <f>$F$17</f>
        <v>0.27</v>
      </c>
      <c r="G78" s="384">
        <f>$G$17</f>
        <v>0.68</v>
      </c>
      <c r="H78" s="384">
        <f>$H$17</f>
        <v>1.86</v>
      </c>
      <c r="I78" s="390">
        <f>$I$17</f>
        <v>0.093</v>
      </c>
      <c r="J78" s="384">
        <f>$J$17</f>
        <v>0.238</v>
      </c>
      <c r="K78" s="390">
        <f>$K$17</f>
        <v>0.09519999999999999</v>
      </c>
      <c r="L78" s="386">
        <f>$L$17</f>
        <v>0.042</v>
      </c>
      <c r="M78" s="384">
        <f>$M$17</f>
        <v>6.5</v>
      </c>
    </row>
    <row r="79" spans="2:13" ht="15" customHeight="1">
      <c r="B79" s="383" t="s">
        <v>129</v>
      </c>
      <c r="C79" s="383">
        <f>$C$18</f>
        <v>150</v>
      </c>
      <c r="D79" s="384">
        <f>$D$18</f>
        <v>0.13</v>
      </c>
      <c r="E79" s="384">
        <f>$E$18</f>
        <v>0.1</v>
      </c>
      <c r="F79" s="384">
        <f>$F$18</f>
        <v>0.02</v>
      </c>
      <c r="G79" s="384">
        <f>$G$18</f>
        <v>0.08</v>
      </c>
      <c r="H79" s="384">
        <f>$H$18</f>
        <v>0.37</v>
      </c>
      <c r="I79" s="390">
        <f>$I$18</f>
        <v>0.0185</v>
      </c>
      <c r="J79" s="384">
        <f>$J$18</f>
        <v>0.59</v>
      </c>
      <c r="K79" s="390">
        <f>$K$18</f>
        <v>0.236</v>
      </c>
      <c r="L79" s="386">
        <f>$L$18</f>
        <v>0.09</v>
      </c>
      <c r="M79" s="384">
        <f>$M$18</f>
        <v>1.38</v>
      </c>
    </row>
    <row r="80" spans="2:13" ht="15" customHeight="1">
      <c r="B80" s="383" t="s">
        <v>129</v>
      </c>
      <c r="C80" s="383">
        <f>$C$18</f>
        <v>150</v>
      </c>
      <c r="D80" s="384">
        <f>$D$18</f>
        <v>0.13</v>
      </c>
      <c r="E80" s="384">
        <f>$E$18</f>
        <v>0.1</v>
      </c>
      <c r="F80" s="384">
        <f>$F$18</f>
        <v>0.02</v>
      </c>
      <c r="G80" s="384">
        <f>$G$18</f>
        <v>0.08</v>
      </c>
      <c r="H80" s="384">
        <f>$H$18</f>
        <v>0.37</v>
      </c>
      <c r="I80" s="390">
        <f>$I$18</f>
        <v>0.0185</v>
      </c>
      <c r="J80" s="384">
        <f>$J$18</f>
        <v>0.59</v>
      </c>
      <c r="K80" s="390">
        <f>$K$18</f>
        <v>0.236</v>
      </c>
      <c r="L80" s="386">
        <f>$L$18</f>
        <v>0.09</v>
      </c>
      <c r="M80" s="384">
        <f>$M$18</f>
        <v>1.38</v>
      </c>
    </row>
    <row r="81" spans="2:13" ht="15" customHeight="1">
      <c r="B81" s="383" t="s">
        <v>129</v>
      </c>
      <c r="C81" s="383">
        <f>$C$18</f>
        <v>150</v>
      </c>
      <c r="D81" s="384">
        <f>$D$18</f>
        <v>0.13</v>
      </c>
      <c r="E81" s="384">
        <f>$E$18</f>
        <v>0.1</v>
      </c>
      <c r="F81" s="384">
        <f>$F$18</f>
        <v>0.02</v>
      </c>
      <c r="G81" s="384">
        <f>$G$18</f>
        <v>0.08</v>
      </c>
      <c r="H81" s="384">
        <f>$H$18</f>
        <v>0.37</v>
      </c>
      <c r="I81" s="390">
        <f>$I$18</f>
        <v>0.0185</v>
      </c>
      <c r="J81" s="384">
        <f>$J$18</f>
        <v>0.59</v>
      </c>
      <c r="K81" s="390">
        <f>$K$18</f>
        <v>0.236</v>
      </c>
      <c r="L81" s="386">
        <f>$L$18</f>
        <v>0.09</v>
      </c>
      <c r="M81" s="384">
        <f>$M$18</f>
        <v>1.38</v>
      </c>
    </row>
    <row r="82" spans="2:13" ht="12.75">
      <c r="B82" s="178" t="s">
        <v>144</v>
      </c>
      <c r="C82" s="178"/>
      <c r="D82" s="179">
        <f>SUM(D68:D81)</f>
        <v>10.602857142857145</v>
      </c>
      <c r="E82" s="179">
        <f aca="true" t="shared" si="4" ref="E82:M82">SUM(E68:E81)</f>
        <v>9.127142857142855</v>
      </c>
      <c r="F82" s="179">
        <f t="shared" si="4"/>
        <v>2.3234285714285714</v>
      </c>
      <c r="G82" s="179">
        <f t="shared" si="4"/>
        <v>6.489999999999999</v>
      </c>
      <c r="H82" s="179">
        <f t="shared" si="4"/>
        <v>14.718571428571426</v>
      </c>
      <c r="I82" s="245">
        <f>SUM(I68:I81)</f>
        <v>0.7359285714285713</v>
      </c>
      <c r="J82" s="179">
        <f t="shared" si="4"/>
        <v>9.0885</v>
      </c>
      <c r="K82" s="245">
        <f>SUM(K68:K81)</f>
        <v>3.6353999999999997</v>
      </c>
      <c r="L82" s="179">
        <f t="shared" si="4"/>
        <v>1.5615000000000003</v>
      </c>
      <c r="M82" s="179">
        <f t="shared" si="4"/>
        <v>55.14000000000001</v>
      </c>
    </row>
    <row r="83" spans="8:11" ht="12.75">
      <c r="H83" s="461"/>
      <c r="I83" s="186"/>
      <c r="J83" s="461"/>
      <c r="K83" s="192"/>
    </row>
    <row r="84" spans="2:11" ht="15">
      <c r="B84" s="193" t="s">
        <v>23</v>
      </c>
      <c r="H84" s="462"/>
      <c r="I84" s="185"/>
      <c r="J84" s="462"/>
      <c r="K84" s="185"/>
    </row>
    <row r="86" spans="2:13" ht="39.75" customHeight="1">
      <c r="B86" s="468" t="s">
        <v>27</v>
      </c>
      <c r="C86" s="430"/>
      <c r="D86" s="430"/>
      <c r="E86" s="430"/>
      <c r="F86" s="430"/>
      <c r="G86" s="430"/>
      <c r="H86" s="430"/>
      <c r="I86" s="430"/>
      <c r="J86" s="430"/>
      <c r="K86" s="430"/>
      <c r="L86" s="430"/>
      <c r="M86" s="431"/>
    </row>
    <row r="87" spans="2:13" ht="41.25" customHeight="1">
      <c r="B87" s="380"/>
      <c r="C87" s="381"/>
      <c r="D87" s="456" t="s">
        <v>42</v>
      </c>
      <c r="E87" s="457"/>
      <c r="F87" s="458"/>
      <c r="G87" s="456" t="s">
        <v>43</v>
      </c>
      <c r="H87" s="459"/>
      <c r="I87" s="459"/>
      <c r="J87" s="459"/>
      <c r="K87" s="459"/>
      <c r="L87" s="460"/>
      <c r="M87" s="388" t="s">
        <v>69</v>
      </c>
    </row>
    <row r="88" spans="2:13" ht="51">
      <c r="B88" s="129" t="s">
        <v>48</v>
      </c>
      <c r="C88" s="187" t="s">
        <v>39</v>
      </c>
      <c r="D88" s="188" t="s">
        <v>40</v>
      </c>
      <c r="E88" s="188" t="s">
        <v>41</v>
      </c>
      <c r="F88" s="187" t="s">
        <v>122</v>
      </c>
      <c r="G88" s="187" t="s">
        <v>16</v>
      </c>
      <c r="H88" s="187" t="s">
        <v>17</v>
      </c>
      <c r="I88" s="187" t="s">
        <v>14</v>
      </c>
      <c r="J88" s="187" t="s">
        <v>18</v>
      </c>
      <c r="K88" s="187" t="s">
        <v>149</v>
      </c>
      <c r="L88" s="187" t="s">
        <v>148</v>
      </c>
      <c r="M88" s="188" t="s">
        <v>123</v>
      </c>
    </row>
    <row r="89" spans="2:13" ht="15" customHeight="1">
      <c r="B89" s="383" t="s">
        <v>124</v>
      </c>
      <c r="C89" s="383">
        <f>$C$6</f>
        <v>22000</v>
      </c>
      <c r="D89" s="384">
        <f>$D$6</f>
        <v>1.0685714285714287</v>
      </c>
      <c r="E89" s="384">
        <f>$E$6</f>
        <v>0.6914285714285714</v>
      </c>
      <c r="F89" s="384">
        <f>$F$6</f>
        <v>0.25142857142857145</v>
      </c>
      <c r="G89" s="384">
        <f>$G$6</f>
        <v>0.8171428571428572</v>
      </c>
      <c r="H89" s="384">
        <f>$H$6</f>
        <v>4.651428571428571</v>
      </c>
      <c r="I89" s="390">
        <f>$I$6</f>
        <v>0.23257142857142857</v>
      </c>
      <c r="J89" s="384">
        <f>$J$6</f>
        <v>1.547</v>
      </c>
      <c r="K89" s="390">
        <f>$K$6</f>
        <v>0.6188</v>
      </c>
      <c r="L89" s="386">
        <f>$L$6</f>
        <v>0.273</v>
      </c>
      <c r="M89" s="384">
        <f>$M$6</f>
        <v>9.302857142857142</v>
      </c>
    </row>
    <row r="90" spans="2:13" ht="15" customHeight="1">
      <c r="B90" s="383" t="s">
        <v>51</v>
      </c>
      <c r="C90" s="383">
        <f>$C$7</f>
        <v>1000</v>
      </c>
      <c r="D90" s="384">
        <f>$D$7</f>
        <v>0.17142857142857143</v>
      </c>
      <c r="E90" s="384">
        <f>$E$7</f>
        <v>0.12857142857142856</v>
      </c>
      <c r="F90" s="384">
        <f>$F$7</f>
        <v>0.03428571428571429</v>
      </c>
      <c r="G90" s="384">
        <f>$G$7</f>
        <v>0.2857142857142857</v>
      </c>
      <c r="H90" s="384">
        <f>$H$7</f>
        <v>0.3171428571428571</v>
      </c>
      <c r="I90" s="390">
        <f>$I$7</f>
        <v>0.015857142857142854</v>
      </c>
      <c r="J90" s="384">
        <f>$J$7</f>
        <v>0.1275</v>
      </c>
      <c r="K90" s="390">
        <f>$K$7</f>
        <v>0.051000000000000004</v>
      </c>
      <c r="L90" s="386">
        <f>$L$7</f>
        <v>0.0225</v>
      </c>
      <c r="M90" s="384">
        <f>$M$7</f>
        <v>1.0914285714285714</v>
      </c>
    </row>
    <row r="91" spans="2:13" ht="15" customHeight="1">
      <c r="B91" s="383" t="s">
        <v>52</v>
      </c>
      <c r="C91" s="383">
        <f>$C$8</f>
        <v>2000</v>
      </c>
      <c r="D91" s="384">
        <f>$D$8</f>
        <v>0.7485714285714286</v>
      </c>
      <c r="E91" s="384">
        <f>$E$8</f>
        <v>1.2514285714285713</v>
      </c>
      <c r="F91" s="384">
        <f>$F$8</f>
        <v>0.08571428571428572</v>
      </c>
      <c r="G91" s="384">
        <f>$G$8</f>
        <v>2.857142857142857</v>
      </c>
      <c r="H91" s="384">
        <f>$H$8</f>
        <v>0.6342857142857142</v>
      </c>
      <c r="I91" s="390">
        <f>$I$8</f>
        <v>0.03171428571428571</v>
      </c>
      <c r="J91" s="384">
        <f>$J$8</f>
        <v>0.2635</v>
      </c>
      <c r="K91" s="390">
        <f>$K$8</f>
        <v>0.10540000000000001</v>
      </c>
      <c r="L91" s="386">
        <f>$L$8</f>
        <v>0.0465</v>
      </c>
      <c r="M91" s="384">
        <f>$M$8</f>
        <v>5.885714285714286</v>
      </c>
    </row>
    <row r="92" spans="2:13" ht="15" customHeight="1">
      <c r="B92" s="383" t="s">
        <v>53</v>
      </c>
      <c r="C92" s="383">
        <f>$C$9</f>
        <v>1000</v>
      </c>
      <c r="D92" s="384">
        <f>$D$9</f>
        <v>0.34285714285714286</v>
      </c>
      <c r="E92" s="384">
        <f>$E$9</f>
        <v>0.23142857142857143</v>
      </c>
      <c r="F92" s="384">
        <f>$F$9</f>
        <v>0.09714285714285714</v>
      </c>
      <c r="G92" s="384">
        <f>$G$9</f>
        <v>0.11428571428571428</v>
      </c>
      <c r="H92" s="384">
        <f>$H$9</f>
        <v>0.3171428571428571</v>
      </c>
      <c r="I92" s="390">
        <f>$I$9</f>
        <v>0.015857142857142854</v>
      </c>
      <c r="J92" s="384">
        <f>$J$9</f>
        <v>0.1445</v>
      </c>
      <c r="K92" s="390">
        <f>$K$9</f>
        <v>0.0578</v>
      </c>
      <c r="L92" s="386">
        <f>$L$9</f>
        <v>0.0255</v>
      </c>
      <c r="M92" s="384">
        <f>$M$9</f>
        <v>1.2685714285714285</v>
      </c>
    </row>
    <row r="93" spans="2:13" ht="51">
      <c r="B93" s="130" t="s">
        <v>125</v>
      </c>
      <c r="C93" s="187" t="s">
        <v>126</v>
      </c>
      <c r="D93" s="131" t="s">
        <v>40</v>
      </c>
      <c r="E93" s="131" t="s">
        <v>41</v>
      </c>
      <c r="F93" s="189" t="s">
        <v>122</v>
      </c>
      <c r="G93" s="189" t="s">
        <v>16</v>
      </c>
      <c r="H93" s="189" t="s">
        <v>17</v>
      </c>
      <c r="I93" s="189" t="s">
        <v>14</v>
      </c>
      <c r="J93" s="189" t="s">
        <v>18</v>
      </c>
      <c r="K93" s="189" t="s">
        <v>149</v>
      </c>
      <c r="L93" s="190" t="s">
        <v>148</v>
      </c>
      <c r="M93" s="131" t="s">
        <v>123</v>
      </c>
    </row>
    <row r="94" spans="2:13" ht="15" customHeight="1">
      <c r="B94" s="383" t="s">
        <v>45</v>
      </c>
      <c r="C94" s="383">
        <f>$C$11</f>
        <v>200</v>
      </c>
      <c r="D94" s="384">
        <f>$D$11</f>
        <v>0.15714285714285714</v>
      </c>
      <c r="E94" s="384">
        <f>$E$11</f>
        <v>0.09657142857142857</v>
      </c>
      <c r="F94" s="384">
        <f>$F$11</f>
        <v>0.013142857142857144</v>
      </c>
      <c r="G94" s="384">
        <f>$G$11</f>
        <v>0.02857142857142857</v>
      </c>
      <c r="H94" s="384">
        <f>$H$11</f>
        <v>1.037142857142857</v>
      </c>
      <c r="I94" s="390">
        <f>$I$11</f>
        <v>0.051857142857142845</v>
      </c>
      <c r="J94" s="384">
        <f>$J$11</f>
        <v>0.204</v>
      </c>
      <c r="K94" s="390">
        <f>$K$11</f>
        <v>0.08159999999999999</v>
      </c>
      <c r="L94" s="386">
        <f>$L$11</f>
        <v>0.036</v>
      </c>
      <c r="M94" s="384">
        <f>$M$11</f>
        <v>1.5691428571428572</v>
      </c>
    </row>
    <row r="95" spans="2:13" ht="15" customHeight="1">
      <c r="B95" s="383" t="s">
        <v>127</v>
      </c>
      <c r="C95" s="383">
        <f>$C$12</f>
        <v>100</v>
      </c>
      <c r="D95" s="384">
        <f>$D$12</f>
        <v>0.16428571428571428</v>
      </c>
      <c r="E95" s="384">
        <f>$E$12</f>
        <v>0.2377142857142857</v>
      </c>
      <c r="F95" s="384">
        <f>$F$12</f>
        <v>0.031714285714285716</v>
      </c>
      <c r="G95" s="384">
        <f>$G$12</f>
        <v>0.05714285714285714</v>
      </c>
      <c r="H95" s="384">
        <f>$H$12</f>
        <v>0.5814285714285715</v>
      </c>
      <c r="I95" s="390">
        <f>$I$12</f>
        <v>0.029071428571428574</v>
      </c>
      <c r="J95" s="384">
        <f>$J$12</f>
        <v>0.1955</v>
      </c>
      <c r="K95" s="390">
        <f>$K$12</f>
        <v>0.0782</v>
      </c>
      <c r="L95" s="386">
        <f>$L$12</f>
        <v>0.0345</v>
      </c>
      <c r="M95" s="384">
        <f>$M$12</f>
        <v>1.3022857142857143</v>
      </c>
    </row>
    <row r="96" spans="2:13" ht="15" customHeight="1">
      <c r="B96" s="383" t="s">
        <v>333</v>
      </c>
      <c r="C96" s="383">
        <f>$C$15</f>
        <v>240</v>
      </c>
      <c r="D96" s="384">
        <f>$D$15</f>
        <v>4.42</v>
      </c>
      <c r="E96" s="384">
        <f>$E$15</f>
        <v>3.66</v>
      </c>
      <c r="F96" s="384">
        <f>$F$15</f>
        <v>1.06</v>
      </c>
      <c r="G96" s="384">
        <f>$G$15</f>
        <v>0.83</v>
      </c>
      <c r="H96" s="384">
        <f>$H$15</f>
        <v>2.99</v>
      </c>
      <c r="I96" s="390">
        <f>$I$15</f>
        <v>0.14950000000000002</v>
      </c>
      <c r="J96" s="384">
        <f>$J$15</f>
        <v>2.584</v>
      </c>
      <c r="K96" s="390">
        <f>$K$15</f>
        <v>1.0336</v>
      </c>
      <c r="L96" s="386">
        <f>$L$15</f>
        <v>0.456</v>
      </c>
      <c r="M96" s="384">
        <f>$M$15</f>
        <v>15.99</v>
      </c>
    </row>
    <row r="97" spans="2:13" ht="15" customHeight="1">
      <c r="B97" s="391" t="s">
        <v>21</v>
      </c>
      <c r="C97" s="392"/>
      <c r="D97" s="393"/>
      <c r="E97" s="393"/>
      <c r="F97" s="393"/>
      <c r="G97" s="393"/>
      <c r="H97" s="393"/>
      <c r="I97" s="394"/>
      <c r="J97" s="393"/>
      <c r="K97" s="394"/>
      <c r="L97" s="393"/>
      <c r="M97" s="395"/>
    </row>
    <row r="98" spans="2:13" ht="15" customHeight="1">
      <c r="B98" s="383" t="s">
        <v>192</v>
      </c>
      <c r="C98" s="383">
        <f>$C$14</f>
        <v>150</v>
      </c>
      <c r="D98" s="384">
        <f>$D$14</f>
        <v>1.91</v>
      </c>
      <c r="E98" s="384">
        <f>$E$14</f>
        <v>1.59</v>
      </c>
      <c r="F98" s="384">
        <f>$F$14</f>
        <v>0.42</v>
      </c>
      <c r="G98" s="384">
        <f>$G$14</f>
        <v>0.58</v>
      </c>
      <c r="H98" s="384">
        <f>$H$14</f>
        <v>1.22</v>
      </c>
      <c r="I98" s="390">
        <f>$I$14</f>
        <v>0.061</v>
      </c>
      <c r="J98" s="384">
        <f>$J$14</f>
        <v>2.0145</v>
      </c>
      <c r="K98" s="390">
        <f>$K$14</f>
        <v>0.8058</v>
      </c>
      <c r="L98" s="386">
        <f>$L$14</f>
        <v>0.3555</v>
      </c>
      <c r="M98" s="384">
        <f>$M$14</f>
        <v>8.09</v>
      </c>
    </row>
    <row r="99" spans="2:13" ht="15" customHeight="1">
      <c r="B99" s="383" t="s">
        <v>130</v>
      </c>
      <c r="C99" s="383">
        <f>$C$17</f>
        <v>75</v>
      </c>
      <c r="D99" s="384">
        <f>$D$17</f>
        <v>1.23</v>
      </c>
      <c r="E99" s="384">
        <f>$E$17</f>
        <v>0.94</v>
      </c>
      <c r="F99" s="384">
        <f>$F$17</f>
        <v>0.27</v>
      </c>
      <c r="G99" s="384">
        <f>$G$17</f>
        <v>0.68</v>
      </c>
      <c r="H99" s="384">
        <f>$H$17</f>
        <v>1.86</v>
      </c>
      <c r="I99" s="390">
        <f>$I$17</f>
        <v>0.093</v>
      </c>
      <c r="J99" s="384">
        <f>$J$17</f>
        <v>0.238</v>
      </c>
      <c r="K99" s="390">
        <f>$K$17</f>
        <v>0.09519999999999999</v>
      </c>
      <c r="L99" s="386">
        <f>$L$17</f>
        <v>0.042</v>
      </c>
      <c r="M99" s="384">
        <f>$M$17</f>
        <v>6.5</v>
      </c>
    </row>
    <row r="100" spans="2:13" ht="15" customHeight="1">
      <c r="B100" s="383" t="s">
        <v>129</v>
      </c>
      <c r="C100" s="383">
        <f>$C$18</f>
        <v>150</v>
      </c>
      <c r="D100" s="384">
        <f>$D$18</f>
        <v>0.13</v>
      </c>
      <c r="E100" s="384">
        <f>$E$18</f>
        <v>0.1</v>
      </c>
      <c r="F100" s="384">
        <f>$F$18</f>
        <v>0.02</v>
      </c>
      <c r="G100" s="384">
        <f>$G$18</f>
        <v>0.08</v>
      </c>
      <c r="H100" s="384">
        <f>$H$18</f>
        <v>0.37</v>
      </c>
      <c r="I100" s="390">
        <f>$I$18</f>
        <v>0.0185</v>
      </c>
      <c r="J100" s="384">
        <f>$J$18</f>
        <v>0.59</v>
      </c>
      <c r="K100" s="390">
        <f>$K$18</f>
        <v>0.236</v>
      </c>
      <c r="L100" s="386">
        <f>$L$18</f>
        <v>0.09</v>
      </c>
      <c r="M100" s="384">
        <f>$M$18</f>
        <v>1.38</v>
      </c>
    </row>
    <row r="101" spans="2:13" ht="15" customHeight="1">
      <c r="B101" s="383" t="s">
        <v>129</v>
      </c>
      <c r="C101" s="383">
        <f>$C$18</f>
        <v>150</v>
      </c>
      <c r="D101" s="384">
        <f>$D$18</f>
        <v>0.13</v>
      </c>
      <c r="E101" s="384">
        <f>$E$18</f>
        <v>0.1</v>
      </c>
      <c r="F101" s="384">
        <f>$F$18</f>
        <v>0.02</v>
      </c>
      <c r="G101" s="384">
        <f>$G$18</f>
        <v>0.08</v>
      </c>
      <c r="H101" s="384">
        <f>$H$18</f>
        <v>0.37</v>
      </c>
      <c r="I101" s="390">
        <f>$I$18</f>
        <v>0.0185</v>
      </c>
      <c r="J101" s="384">
        <f>$J$18</f>
        <v>0.59</v>
      </c>
      <c r="K101" s="390">
        <f>$K$18</f>
        <v>0.236</v>
      </c>
      <c r="L101" s="386">
        <f>$L$18</f>
        <v>0.09</v>
      </c>
      <c r="M101" s="384">
        <f>$M$18</f>
        <v>1.38</v>
      </c>
    </row>
    <row r="102" spans="2:13" ht="15" customHeight="1">
      <c r="B102" s="383" t="s">
        <v>129</v>
      </c>
      <c r="C102" s="383">
        <f>$C$18</f>
        <v>150</v>
      </c>
      <c r="D102" s="384">
        <f>$D$18</f>
        <v>0.13</v>
      </c>
      <c r="E102" s="384">
        <f>$E$18</f>
        <v>0.1</v>
      </c>
      <c r="F102" s="384">
        <f>$F$18</f>
        <v>0.02</v>
      </c>
      <c r="G102" s="384">
        <f>$G$18</f>
        <v>0.08</v>
      </c>
      <c r="H102" s="384">
        <f>$H$18</f>
        <v>0.37</v>
      </c>
      <c r="I102" s="390">
        <f>$I$18</f>
        <v>0.0185</v>
      </c>
      <c r="J102" s="384">
        <f>$J$18</f>
        <v>0.59</v>
      </c>
      <c r="K102" s="390">
        <f>$K$18</f>
        <v>0.236</v>
      </c>
      <c r="L102" s="386">
        <f>$L$18</f>
        <v>0.09</v>
      </c>
      <c r="M102" s="384">
        <f>$M$18</f>
        <v>1.38</v>
      </c>
    </row>
    <row r="103" spans="2:13" ht="12.75">
      <c r="B103" s="178" t="s">
        <v>144</v>
      </c>
      <c r="C103" s="178"/>
      <c r="D103" s="179">
        <f>SUM(D89:D102)</f>
        <v>10.602857142857145</v>
      </c>
      <c r="E103" s="179">
        <f aca="true" t="shared" si="5" ref="E103:M103">SUM(E89:E102)</f>
        <v>9.127142857142855</v>
      </c>
      <c r="F103" s="179">
        <f t="shared" si="5"/>
        <v>2.3234285714285714</v>
      </c>
      <c r="G103" s="179">
        <f t="shared" si="5"/>
        <v>6.489999999999999</v>
      </c>
      <c r="H103" s="179">
        <f t="shared" si="5"/>
        <v>14.718571428571426</v>
      </c>
      <c r="I103" s="245">
        <f>SUM(I89:I102)</f>
        <v>0.7359285714285713</v>
      </c>
      <c r="J103" s="179">
        <f t="shared" si="5"/>
        <v>9.0885</v>
      </c>
      <c r="K103" s="245">
        <f>SUM(K89:K102)</f>
        <v>3.6353999999999997</v>
      </c>
      <c r="L103" s="179">
        <f t="shared" si="5"/>
        <v>1.5615000000000003</v>
      </c>
      <c r="M103" s="179">
        <f t="shared" si="5"/>
        <v>55.14000000000001</v>
      </c>
    </row>
    <row r="104" spans="8:11" ht="12.75">
      <c r="H104" s="461"/>
      <c r="I104" s="186"/>
      <c r="J104" s="461"/>
      <c r="K104" s="192"/>
    </row>
    <row r="105" spans="2:11" ht="15">
      <c r="B105" s="193" t="s">
        <v>28</v>
      </c>
      <c r="H105" s="462"/>
      <c r="I105" s="185"/>
      <c r="J105" s="462"/>
      <c r="K105" s="185"/>
    </row>
    <row r="106" spans="8:11" ht="12.75">
      <c r="H106" s="180"/>
      <c r="I106" s="180"/>
      <c r="J106" s="180"/>
      <c r="K106" s="180"/>
    </row>
  </sheetData>
  <sheetProtection/>
  <mergeCells count="30">
    <mergeCell ref="B23:D23"/>
    <mergeCell ref="D4:F4"/>
    <mergeCell ref="B2:M2"/>
    <mergeCell ref="B28:M28"/>
    <mergeCell ref="B3:M3"/>
    <mergeCell ref="G4:L4"/>
    <mergeCell ref="B21:D21"/>
    <mergeCell ref="B22:D22"/>
    <mergeCell ref="B24:D24"/>
    <mergeCell ref="B25:D25"/>
    <mergeCell ref="B26:D26"/>
    <mergeCell ref="H62:H63"/>
    <mergeCell ref="J62:J63"/>
    <mergeCell ref="B86:M86"/>
    <mergeCell ref="B46:M46"/>
    <mergeCell ref="D47:F47"/>
    <mergeCell ref="B65:M65"/>
    <mergeCell ref="H83:H84"/>
    <mergeCell ref="J83:J84"/>
    <mergeCell ref="D66:F66"/>
    <mergeCell ref="D87:F87"/>
    <mergeCell ref="G87:L87"/>
    <mergeCell ref="H104:H105"/>
    <mergeCell ref="J104:J105"/>
    <mergeCell ref="G66:L66"/>
    <mergeCell ref="D29:F29"/>
    <mergeCell ref="G29:L29"/>
    <mergeCell ref="G47:L47"/>
    <mergeCell ref="H43:H44"/>
    <mergeCell ref="J43:J44"/>
  </mergeCells>
  <hyperlinks>
    <hyperlink ref="B44" location="A1" display="Back to Costs by Crop"/>
    <hyperlink ref="B63" location="A1" display="Back to Costs by Crop"/>
    <hyperlink ref="B24:D24" location="WWMC" display="Winter Wheat"/>
    <hyperlink ref="B84" location="A1" display="Back to Costs by Crop"/>
    <hyperlink ref="B25:D25" location="SBMC" display="Spring Barley"/>
    <hyperlink ref="B105" location="A1" display="Back to Costs to Crop"/>
    <hyperlink ref="B26:D26" location="SWMC" display="Hard Red Spring Wheat"/>
    <hyperlink ref="B23:D23" location="CFMC" display="Chem Fallow"/>
  </hyperlinks>
  <printOptions horizontalCentered="1"/>
  <pageMargins left="0.75" right="0.75" top="1" bottom="1" header="0.5" footer="0.5"/>
  <pageSetup fitToHeight="0" fitToWidth="1" horizontalDpi="600" verticalDpi="600" orientation="landscape" scale="85"/>
  <headerFooter alignWithMargins="0">
    <oddFooter>&amp;L&amp;A&amp;C&amp;F&amp;R&amp;D</oddFooter>
  </headerFooter>
  <rowBreaks count="4" manualBreakCount="4">
    <brk id="27" min="1" max="12" man="1"/>
    <brk id="45" min="1" max="12" man="1"/>
    <brk id="64" min="1" max="12" man="1"/>
    <brk id="85" min="1" max="12" man="1"/>
  </rowBreaks>
  <ignoredErrors>
    <ignoredError sqref="D42:M42 D61:M61 D82:M82 D103:M103" emptyCellReference="1"/>
  </ignoredErrors>
</worksheet>
</file>

<file path=xl/worksheets/sheet15.xml><?xml version="1.0" encoding="utf-8"?>
<worksheet xmlns="http://schemas.openxmlformats.org/spreadsheetml/2006/main" xmlns:r="http://schemas.openxmlformats.org/officeDocument/2006/relationships">
  <sheetPr codeName="Sheet12">
    <pageSetUpPr fitToPage="1"/>
  </sheetPr>
  <dimension ref="A1:AC48"/>
  <sheetViews>
    <sheetView zoomScalePageLayoutView="0" workbookViewId="0" topLeftCell="A1">
      <selection activeCell="C28" sqref="C28"/>
    </sheetView>
  </sheetViews>
  <sheetFormatPr defaultColWidth="8.7109375" defaultRowHeight="12.75"/>
  <cols>
    <col min="1" max="1" width="4.28125" style="46" customWidth="1"/>
    <col min="2" max="2" width="19.421875" style="0" customWidth="1"/>
    <col min="3" max="3" width="12.7109375" style="0" customWidth="1"/>
    <col min="4" max="4" width="10.421875" style="0" customWidth="1"/>
    <col min="5" max="9" width="8.7109375" style="0" customWidth="1"/>
    <col min="10" max="10" width="9.421875" style="0" customWidth="1"/>
    <col min="11" max="16" width="8.7109375" style="0" customWidth="1"/>
    <col min="17" max="29" width="8.7109375" style="46" customWidth="1"/>
  </cols>
  <sheetData>
    <row r="1" spans="2:16" ht="12.75">
      <c r="B1" s="46"/>
      <c r="C1" s="46"/>
      <c r="D1" s="46"/>
      <c r="E1" s="46"/>
      <c r="F1" s="46"/>
      <c r="G1" s="46"/>
      <c r="H1" s="46"/>
      <c r="I1" s="46"/>
      <c r="J1" s="46"/>
      <c r="K1" s="46"/>
      <c r="L1" s="46"/>
      <c r="M1" s="46"/>
      <c r="N1" s="46"/>
      <c r="O1" s="46"/>
      <c r="P1" s="46"/>
    </row>
    <row r="2" spans="1:29" s="404" customFormat="1" ht="36.75" customHeight="1">
      <c r="A2" s="310"/>
      <c r="B2" s="472" t="s">
        <v>244</v>
      </c>
      <c r="C2" s="473"/>
      <c r="D2" s="473"/>
      <c r="E2" s="473"/>
      <c r="F2" s="473"/>
      <c r="G2" s="473"/>
      <c r="H2" s="473"/>
      <c r="I2" s="473"/>
      <c r="J2" s="473"/>
      <c r="K2" s="473"/>
      <c r="L2" s="473"/>
      <c r="M2" s="310"/>
      <c r="N2" s="310"/>
      <c r="O2" s="310"/>
      <c r="P2" s="310"/>
      <c r="Q2" s="310"/>
      <c r="R2" s="310"/>
      <c r="S2" s="310"/>
      <c r="T2" s="310"/>
      <c r="U2" s="310"/>
      <c r="V2" s="310"/>
      <c r="W2" s="310"/>
      <c r="X2" s="310"/>
      <c r="Y2" s="310"/>
      <c r="Z2" s="310"/>
      <c r="AA2" s="310"/>
      <c r="AB2" s="310"/>
      <c r="AC2" s="310"/>
    </row>
    <row r="3" spans="1:29" s="133" customFormat="1" ht="12.75">
      <c r="A3" s="149"/>
      <c r="B3" s="132"/>
      <c r="C3" s="132"/>
      <c r="D3" s="132"/>
      <c r="E3" s="132"/>
      <c r="F3" s="132"/>
      <c r="G3" s="132"/>
      <c r="H3" s="150" t="s">
        <v>248</v>
      </c>
      <c r="I3" s="132"/>
      <c r="J3" s="132" t="s">
        <v>249</v>
      </c>
      <c r="K3" s="132"/>
      <c r="L3" s="132"/>
      <c r="M3" s="149"/>
      <c r="N3" s="149"/>
      <c r="O3" s="149"/>
      <c r="P3" s="149"/>
      <c r="Q3" s="149"/>
      <c r="R3" s="149"/>
      <c r="S3" s="149"/>
      <c r="T3" s="149"/>
      <c r="U3" s="149"/>
      <c r="V3" s="149"/>
      <c r="W3" s="149"/>
      <c r="X3" s="149"/>
      <c r="Y3" s="149"/>
      <c r="Z3" s="149"/>
      <c r="AA3" s="149"/>
      <c r="AB3" s="149"/>
      <c r="AC3" s="149"/>
    </row>
    <row r="4" spans="1:29" s="133" customFormat="1" ht="12.75">
      <c r="A4" s="149"/>
      <c r="B4" s="128"/>
      <c r="C4" s="128"/>
      <c r="D4" s="128"/>
      <c r="E4" s="128"/>
      <c r="F4" s="151" t="s">
        <v>250</v>
      </c>
      <c r="G4" s="128"/>
      <c r="H4" s="151" t="s">
        <v>153</v>
      </c>
      <c r="I4" s="151" t="s">
        <v>154</v>
      </c>
      <c r="J4" s="151" t="s">
        <v>155</v>
      </c>
      <c r="K4" s="128"/>
      <c r="L4" s="128"/>
      <c r="M4" s="149"/>
      <c r="N4" s="149"/>
      <c r="O4" s="149"/>
      <c r="P4" s="149"/>
      <c r="Q4" s="149"/>
      <c r="R4" s="149"/>
      <c r="S4" s="149"/>
      <c r="T4" s="149"/>
      <c r="U4" s="149"/>
      <c r="V4" s="149"/>
      <c r="W4" s="149"/>
      <c r="X4" s="149"/>
      <c r="Y4" s="149"/>
      <c r="Z4" s="149"/>
      <c r="AA4" s="149"/>
      <c r="AB4" s="149"/>
      <c r="AC4" s="149"/>
    </row>
    <row r="5" spans="1:29" s="133" customFormat="1" ht="12.75">
      <c r="A5" s="149"/>
      <c r="B5" s="151" t="s">
        <v>156</v>
      </c>
      <c r="C5" s="151" t="s">
        <v>157</v>
      </c>
      <c r="D5" s="128" t="s">
        <v>158</v>
      </c>
      <c r="E5" s="151" t="s">
        <v>159</v>
      </c>
      <c r="F5" s="151" t="s">
        <v>160</v>
      </c>
      <c r="G5" s="151" t="s">
        <v>161</v>
      </c>
      <c r="H5" s="151" t="s">
        <v>162</v>
      </c>
      <c r="I5" s="151" t="s">
        <v>163</v>
      </c>
      <c r="J5" s="151" t="s">
        <v>164</v>
      </c>
      <c r="K5" s="151" t="s">
        <v>113</v>
      </c>
      <c r="L5" s="151" t="s">
        <v>165</v>
      </c>
      <c r="M5" s="149"/>
      <c r="N5" s="149"/>
      <c r="O5" s="149"/>
      <c r="P5" s="149"/>
      <c r="Q5" s="149"/>
      <c r="R5" s="149"/>
      <c r="S5" s="149"/>
      <c r="T5" s="149"/>
      <c r="U5" s="149"/>
      <c r="V5" s="149"/>
      <c r="W5" s="149"/>
      <c r="X5" s="149"/>
      <c r="Y5" s="149"/>
      <c r="Z5" s="149"/>
      <c r="AA5" s="149"/>
      <c r="AB5" s="149"/>
      <c r="AC5" s="149"/>
    </row>
    <row r="6" spans="1:29" s="133" customFormat="1" ht="12.75">
      <c r="A6" s="149"/>
      <c r="B6" s="152" t="s">
        <v>166</v>
      </c>
      <c r="C6" s="152" t="s">
        <v>167</v>
      </c>
      <c r="D6" s="153" t="s">
        <v>168</v>
      </c>
      <c r="E6" s="152" t="s">
        <v>169</v>
      </c>
      <c r="F6" s="152" t="s">
        <v>170</v>
      </c>
      <c r="G6" s="152" t="s">
        <v>167</v>
      </c>
      <c r="H6" s="152" t="s">
        <v>171</v>
      </c>
      <c r="I6" s="152" t="s">
        <v>172</v>
      </c>
      <c r="J6" s="152" t="s">
        <v>173</v>
      </c>
      <c r="K6" s="152" t="s">
        <v>174</v>
      </c>
      <c r="L6" s="152" t="s">
        <v>175</v>
      </c>
      <c r="M6" s="149"/>
      <c r="N6" s="149"/>
      <c r="O6" s="149"/>
      <c r="P6" s="149"/>
      <c r="Q6" s="149"/>
      <c r="R6" s="149"/>
      <c r="S6" s="149"/>
      <c r="T6" s="149"/>
      <c r="U6" s="149"/>
      <c r="V6" s="149"/>
      <c r="W6" s="149"/>
      <c r="X6" s="149"/>
      <c r="Y6" s="149"/>
      <c r="Z6" s="149"/>
      <c r="AA6" s="149"/>
      <c r="AB6" s="149"/>
      <c r="AC6" s="149"/>
    </row>
    <row r="7" spans="2:16" ht="12.75">
      <c r="B7" s="387"/>
      <c r="C7" s="396" t="s">
        <v>176</v>
      </c>
      <c r="D7" s="397"/>
      <c r="E7" s="397"/>
      <c r="F7" s="397"/>
      <c r="G7" s="396" t="s">
        <v>176</v>
      </c>
      <c r="H7" s="396" t="s">
        <v>176</v>
      </c>
      <c r="I7" s="397"/>
      <c r="J7" s="396" t="s">
        <v>177</v>
      </c>
      <c r="K7" s="397"/>
      <c r="L7" s="397"/>
      <c r="M7" s="46"/>
      <c r="N7" s="46"/>
      <c r="O7" s="46"/>
      <c r="P7" s="46"/>
    </row>
    <row r="8" spans="2:16" ht="15" customHeight="1">
      <c r="B8" s="398" t="s">
        <v>178</v>
      </c>
      <c r="C8" s="399"/>
      <c r="D8" s="399"/>
      <c r="E8" s="399"/>
      <c r="F8" s="399"/>
      <c r="G8" s="399"/>
      <c r="H8" s="399"/>
      <c r="I8" s="399"/>
      <c r="J8" s="399"/>
      <c r="K8" s="399"/>
      <c r="L8" s="399"/>
      <c r="M8" s="46"/>
      <c r="N8" s="46"/>
      <c r="O8" s="46"/>
      <c r="P8" s="46"/>
    </row>
    <row r="9" spans="2:16" ht="15" customHeight="1">
      <c r="B9" s="387" t="s">
        <v>45</v>
      </c>
      <c r="C9" s="400">
        <v>6500</v>
      </c>
      <c r="D9" s="397">
        <v>0</v>
      </c>
      <c r="E9" s="397">
        <v>10</v>
      </c>
      <c r="F9" s="397">
        <v>200</v>
      </c>
      <c r="G9" s="400">
        <v>1000</v>
      </c>
      <c r="H9" s="397">
        <v>100</v>
      </c>
      <c r="I9" s="397">
        <v>1.2</v>
      </c>
      <c r="J9" s="397">
        <v>1.2</v>
      </c>
      <c r="K9" s="397">
        <v>1.1</v>
      </c>
      <c r="L9" s="397"/>
      <c r="M9" s="46"/>
      <c r="N9" s="46"/>
      <c r="O9" s="46"/>
      <c r="P9" s="46"/>
    </row>
    <row r="10" spans="2:16" ht="15" customHeight="1">
      <c r="B10" s="387" t="s">
        <v>46</v>
      </c>
      <c r="C10" s="400">
        <v>15000</v>
      </c>
      <c r="D10" s="397">
        <v>15</v>
      </c>
      <c r="E10" s="397">
        <v>20</v>
      </c>
      <c r="F10" s="397">
        <v>100</v>
      </c>
      <c r="G10" s="400">
        <v>3500</v>
      </c>
      <c r="H10" s="397">
        <v>200</v>
      </c>
      <c r="I10" s="397">
        <v>3</v>
      </c>
      <c r="J10" s="397">
        <v>1.2</v>
      </c>
      <c r="K10" s="397">
        <v>1.1</v>
      </c>
      <c r="L10" s="397"/>
      <c r="M10" s="46"/>
      <c r="N10" s="46"/>
      <c r="O10" s="46"/>
      <c r="P10" s="46"/>
    </row>
    <row r="11" spans="2:16" ht="15" customHeight="1">
      <c r="B11" s="387" t="s">
        <v>55</v>
      </c>
      <c r="C11" s="400">
        <v>95000</v>
      </c>
      <c r="D11" s="397">
        <v>0</v>
      </c>
      <c r="E11" s="397">
        <v>15</v>
      </c>
      <c r="F11" s="397">
        <v>250</v>
      </c>
      <c r="G11" s="400">
        <v>20000</v>
      </c>
      <c r="H11" s="400">
        <v>1200</v>
      </c>
      <c r="I11" s="397">
        <v>11</v>
      </c>
      <c r="J11" s="397">
        <v>1.2</v>
      </c>
      <c r="K11" s="397">
        <v>1.1</v>
      </c>
      <c r="L11" s="397"/>
      <c r="M11" s="46"/>
      <c r="N11" s="46"/>
      <c r="O11" s="46"/>
      <c r="P11" s="46"/>
    </row>
    <row r="12" spans="2:16" ht="15.75" customHeight="1">
      <c r="B12" s="398" t="s">
        <v>47</v>
      </c>
      <c r="C12" s="399"/>
      <c r="D12" s="399"/>
      <c r="E12" s="399"/>
      <c r="F12" s="399"/>
      <c r="G12" s="399"/>
      <c r="H12" s="399"/>
      <c r="I12" s="399"/>
      <c r="J12" s="399"/>
      <c r="K12" s="399"/>
      <c r="L12" s="399"/>
      <c r="M12" s="46"/>
      <c r="N12" s="46"/>
      <c r="O12" s="46"/>
      <c r="P12" s="46"/>
    </row>
    <row r="13" spans="2:16" ht="15" customHeight="1">
      <c r="B13" s="387" t="s">
        <v>187</v>
      </c>
      <c r="C13" s="400">
        <v>18000</v>
      </c>
      <c r="D13" s="397">
        <v>0</v>
      </c>
      <c r="E13" s="397">
        <v>15</v>
      </c>
      <c r="F13" s="397">
        <v>65</v>
      </c>
      <c r="G13" s="397">
        <v>3000</v>
      </c>
      <c r="H13" s="397">
        <v>750</v>
      </c>
      <c r="I13" s="397">
        <v>12</v>
      </c>
      <c r="J13" s="397">
        <v>2.5</v>
      </c>
      <c r="K13" s="397">
        <v>1.2</v>
      </c>
      <c r="L13" s="397">
        <v>18</v>
      </c>
      <c r="M13" s="46"/>
      <c r="N13" s="46"/>
      <c r="O13" s="46"/>
      <c r="P13" s="46"/>
    </row>
    <row r="14" spans="2:16" ht="15" customHeight="1">
      <c r="B14" s="387" t="s">
        <v>344</v>
      </c>
      <c r="C14" s="400">
        <v>15500</v>
      </c>
      <c r="D14" s="397">
        <v>0</v>
      </c>
      <c r="E14" s="397">
        <v>12</v>
      </c>
      <c r="F14" s="397">
        <v>30</v>
      </c>
      <c r="G14" s="397">
        <v>2500</v>
      </c>
      <c r="H14" s="397">
        <v>550</v>
      </c>
      <c r="I14" s="397">
        <v>12</v>
      </c>
      <c r="J14" s="397">
        <v>0.6</v>
      </c>
      <c r="K14" s="397">
        <v>1.1</v>
      </c>
      <c r="L14" s="397">
        <v>52</v>
      </c>
      <c r="M14" s="46"/>
      <c r="N14" s="46"/>
      <c r="O14" s="46"/>
      <c r="P14" s="46"/>
    </row>
    <row r="15" spans="2:16" ht="15" customHeight="1">
      <c r="B15" s="387" t="s">
        <v>192</v>
      </c>
      <c r="C15" s="400">
        <v>30000</v>
      </c>
      <c r="D15" s="397">
        <v>5</v>
      </c>
      <c r="E15" s="397">
        <v>10</v>
      </c>
      <c r="F15" s="397">
        <v>150</v>
      </c>
      <c r="G15" s="400">
        <v>10000</v>
      </c>
      <c r="H15" s="400">
        <v>1000</v>
      </c>
      <c r="I15" s="397">
        <v>13</v>
      </c>
      <c r="J15" s="397">
        <v>3</v>
      </c>
      <c r="K15" s="397">
        <v>1.2</v>
      </c>
      <c r="L15" s="397">
        <v>15</v>
      </c>
      <c r="M15" s="46"/>
      <c r="N15" s="46"/>
      <c r="O15" s="46"/>
      <c r="P15" s="46"/>
    </row>
    <row r="16" spans="2:16" ht="15" customHeight="1">
      <c r="B16" s="387" t="s">
        <v>333</v>
      </c>
      <c r="C16" s="400">
        <v>225000</v>
      </c>
      <c r="D16" s="397">
        <v>5</v>
      </c>
      <c r="E16" s="397">
        <v>15</v>
      </c>
      <c r="F16" s="397">
        <v>240</v>
      </c>
      <c r="G16" s="400">
        <v>30000</v>
      </c>
      <c r="H16" s="400">
        <v>4000</v>
      </c>
      <c r="I16" s="397">
        <v>7</v>
      </c>
      <c r="J16" s="397">
        <v>2.6</v>
      </c>
      <c r="K16" s="397">
        <v>1.2</v>
      </c>
      <c r="L16" s="397">
        <v>11</v>
      </c>
      <c r="M16" s="46"/>
      <c r="N16" s="46"/>
      <c r="O16" s="46"/>
      <c r="P16" s="46"/>
    </row>
    <row r="17" spans="2:16" ht="15" customHeight="1">
      <c r="B17" s="401" t="s">
        <v>48</v>
      </c>
      <c r="C17" s="397"/>
      <c r="D17" s="397"/>
      <c r="E17" s="397"/>
      <c r="F17" s="397" t="s">
        <v>49</v>
      </c>
      <c r="G17" s="397"/>
      <c r="H17" s="397"/>
      <c r="I17" s="397" t="s">
        <v>50</v>
      </c>
      <c r="J17" s="397"/>
      <c r="K17" s="397"/>
      <c r="L17" s="397"/>
      <c r="M17" s="46"/>
      <c r="N17" s="46"/>
      <c r="O17" s="46"/>
      <c r="P17" s="46"/>
    </row>
    <row r="18" spans="2:16" ht="15" customHeight="1">
      <c r="B18" s="387" t="s">
        <v>51</v>
      </c>
      <c r="C18" s="400">
        <v>20000</v>
      </c>
      <c r="D18" s="397">
        <v>15</v>
      </c>
      <c r="E18" s="397">
        <v>15</v>
      </c>
      <c r="F18" s="397">
        <v>1000</v>
      </c>
      <c r="G18" s="400">
        <v>2000</v>
      </c>
      <c r="H18" s="400">
        <v>1000</v>
      </c>
      <c r="I18" s="397">
        <v>6</v>
      </c>
      <c r="J18" s="397"/>
      <c r="K18" s="397">
        <v>1.1</v>
      </c>
      <c r="L18" s="397">
        <v>25</v>
      </c>
      <c r="M18" s="46"/>
      <c r="N18" s="46"/>
      <c r="O18" s="46"/>
      <c r="P18" s="46"/>
    </row>
    <row r="19" spans="2:16" ht="15" customHeight="1">
      <c r="B19" s="387" t="s">
        <v>52</v>
      </c>
      <c r="C19" s="400">
        <v>35000</v>
      </c>
      <c r="D19" s="397">
        <v>15</v>
      </c>
      <c r="E19" s="397">
        <v>15</v>
      </c>
      <c r="F19" s="397">
        <v>2000</v>
      </c>
      <c r="G19" s="400">
        <v>4500</v>
      </c>
      <c r="H19" s="400">
        <v>2000</v>
      </c>
      <c r="I19" s="397">
        <v>6</v>
      </c>
      <c r="J19" s="397">
        <v>10.1</v>
      </c>
      <c r="K19" s="397">
        <v>1.1</v>
      </c>
      <c r="L19" s="397"/>
      <c r="M19" s="46"/>
      <c r="N19" s="46"/>
      <c r="O19" s="46"/>
      <c r="P19" s="46"/>
    </row>
    <row r="20" spans="2:16" ht="15" customHeight="1">
      <c r="B20" s="387" t="s">
        <v>53</v>
      </c>
      <c r="C20" s="400">
        <v>15000</v>
      </c>
      <c r="D20" s="397">
        <v>10</v>
      </c>
      <c r="E20" s="397">
        <v>10</v>
      </c>
      <c r="F20" s="397">
        <v>500</v>
      </c>
      <c r="G20" s="400">
        <v>3000</v>
      </c>
      <c r="H20" s="397">
        <v>400</v>
      </c>
      <c r="I20" s="397">
        <v>12</v>
      </c>
      <c r="J20" s="397">
        <v>3.8</v>
      </c>
      <c r="K20" s="397">
        <v>1.1</v>
      </c>
      <c r="L20" s="397">
        <v>20</v>
      </c>
      <c r="M20" s="46"/>
      <c r="N20" s="46"/>
      <c r="O20" s="46"/>
      <c r="P20" s="46"/>
    </row>
    <row r="21" spans="2:16" ht="15" customHeight="1">
      <c r="B21" s="387" t="s">
        <v>54</v>
      </c>
      <c r="C21" s="400">
        <v>22000</v>
      </c>
      <c r="D21" s="397">
        <v>5</v>
      </c>
      <c r="E21" s="397">
        <v>7</v>
      </c>
      <c r="F21" s="397">
        <v>12000</v>
      </c>
      <c r="G21" s="400">
        <v>7500</v>
      </c>
      <c r="H21" s="400">
        <v>1500</v>
      </c>
      <c r="I21" s="397">
        <v>12</v>
      </c>
      <c r="J21" s="397">
        <v>6.8</v>
      </c>
      <c r="K21" s="397">
        <v>1.1</v>
      </c>
      <c r="L21" s="397">
        <v>5</v>
      </c>
      <c r="M21" s="46"/>
      <c r="N21" s="46"/>
      <c r="O21" s="46"/>
      <c r="P21" s="46"/>
    </row>
    <row r="22" spans="2:16" ht="12.75">
      <c r="B22" s="46"/>
      <c r="C22" s="46"/>
      <c r="D22" s="46"/>
      <c r="E22" s="46"/>
      <c r="F22" s="46"/>
      <c r="G22" s="46"/>
      <c r="H22" s="46"/>
      <c r="I22" s="46"/>
      <c r="J22" s="46"/>
      <c r="K22" s="46"/>
      <c r="L22" s="46"/>
      <c r="M22" s="46"/>
      <c r="N22" s="46"/>
      <c r="O22" s="46"/>
      <c r="P22" s="46"/>
    </row>
    <row r="23" spans="2:16" ht="12.75">
      <c r="B23" s="46"/>
      <c r="C23" s="46"/>
      <c r="D23" s="46"/>
      <c r="E23" s="46"/>
      <c r="F23" s="46"/>
      <c r="G23" s="46"/>
      <c r="H23" s="46"/>
      <c r="I23" s="46"/>
      <c r="J23" s="46"/>
      <c r="K23" s="46"/>
      <c r="L23" s="46"/>
      <c r="M23" s="46"/>
      <c r="N23" s="46"/>
      <c r="O23" s="46"/>
      <c r="P23" s="46"/>
    </row>
    <row r="24" spans="2:16" ht="12.75">
      <c r="B24" s="46"/>
      <c r="C24" s="46"/>
      <c r="D24" s="46"/>
      <c r="E24" s="46"/>
      <c r="F24" s="46"/>
      <c r="G24" s="46"/>
      <c r="H24" s="46"/>
      <c r="I24" s="46"/>
      <c r="J24" s="46"/>
      <c r="K24" s="46"/>
      <c r="L24" s="46"/>
      <c r="M24" s="46"/>
      <c r="N24" s="46"/>
      <c r="O24" s="46"/>
      <c r="P24" s="46"/>
    </row>
    <row r="25" spans="2:16" ht="12.75">
      <c r="B25" s="46"/>
      <c r="C25" s="46"/>
      <c r="D25" s="46"/>
      <c r="E25" s="46"/>
      <c r="F25" s="46"/>
      <c r="G25" s="46"/>
      <c r="H25" s="46"/>
      <c r="I25" s="46"/>
      <c r="J25" s="46"/>
      <c r="K25" s="46"/>
      <c r="L25" s="46"/>
      <c r="M25" s="46"/>
      <c r="N25" s="46"/>
      <c r="O25" s="46"/>
      <c r="P25" s="46"/>
    </row>
    <row r="26" spans="2:16" ht="12.75">
      <c r="B26" s="46"/>
      <c r="C26" s="46"/>
      <c r="D26" s="46"/>
      <c r="E26" s="46"/>
      <c r="F26" s="46"/>
      <c r="G26" s="46"/>
      <c r="H26" s="46"/>
      <c r="I26" s="46"/>
      <c r="J26" s="46"/>
      <c r="K26" s="46"/>
      <c r="L26" s="46"/>
      <c r="M26" s="46"/>
      <c r="N26" s="46"/>
      <c r="O26" s="46"/>
      <c r="P26" s="46"/>
    </row>
    <row r="27" spans="2:16" ht="12.75">
      <c r="B27" s="46"/>
      <c r="C27" s="46"/>
      <c r="D27" s="46"/>
      <c r="E27" s="46"/>
      <c r="F27" s="46"/>
      <c r="G27" s="46"/>
      <c r="H27" s="46"/>
      <c r="I27" s="46"/>
      <c r="J27" s="46"/>
      <c r="K27" s="46"/>
      <c r="L27" s="46"/>
      <c r="M27" s="46"/>
      <c r="N27" s="46"/>
      <c r="O27" s="46"/>
      <c r="P27" s="46"/>
    </row>
    <row r="28" spans="2:16" ht="12.75">
      <c r="B28" s="46"/>
      <c r="C28" s="46"/>
      <c r="D28" s="46"/>
      <c r="E28" s="46"/>
      <c r="F28" s="46"/>
      <c r="G28" s="46"/>
      <c r="H28" s="46"/>
      <c r="I28" s="46"/>
      <c r="J28" s="46"/>
      <c r="K28" s="46"/>
      <c r="L28" s="46"/>
      <c r="M28" s="46"/>
      <c r="N28" s="46"/>
      <c r="O28" s="46"/>
      <c r="P28" s="46"/>
    </row>
    <row r="29" spans="2:16" ht="12.75">
      <c r="B29" s="46"/>
      <c r="C29" s="46"/>
      <c r="D29" s="46"/>
      <c r="E29" s="46"/>
      <c r="F29" s="46"/>
      <c r="G29" s="46"/>
      <c r="H29" s="46"/>
      <c r="I29" s="46"/>
      <c r="J29" s="46"/>
      <c r="K29" s="46"/>
      <c r="L29" s="46"/>
      <c r="M29" s="46"/>
      <c r="N29" s="46"/>
      <c r="O29" s="46"/>
      <c r="P29" s="46"/>
    </row>
    <row r="30" spans="2:16" ht="12.75">
      <c r="B30" s="46"/>
      <c r="C30" s="46"/>
      <c r="D30" s="46"/>
      <c r="E30" s="46"/>
      <c r="F30" s="46"/>
      <c r="G30" s="46"/>
      <c r="H30" s="46"/>
      <c r="I30" s="46"/>
      <c r="J30" s="46"/>
      <c r="K30" s="46"/>
      <c r="L30" s="46"/>
      <c r="M30" s="46"/>
      <c r="N30" s="46"/>
      <c r="O30" s="46"/>
      <c r="P30" s="46"/>
    </row>
    <row r="31" spans="2:16" ht="12.75">
      <c r="B31" s="46"/>
      <c r="C31" s="46"/>
      <c r="D31" s="46"/>
      <c r="E31" s="46"/>
      <c r="F31" s="46"/>
      <c r="G31" s="46"/>
      <c r="H31" s="46"/>
      <c r="I31" s="46"/>
      <c r="J31" s="46"/>
      <c r="K31" s="46"/>
      <c r="L31" s="46"/>
      <c r="M31" s="46"/>
      <c r="N31" s="46"/>
      <c r="O31" s="46"/>
      <c r="P31" s="46"/>
    </row>
    <row r="32" spans="2:16" ht="12.75">
      <c r="B32" s="46"/>
      <c r="C32" s="46"/>
      <c r="D32" s="46"/>
      <c r="E32" s="46"/>
      <c r="F32" s="46"/>
      <c r="G32" s="46"/>
      <c r="H32" s="46"/>
      <c r="I32" s="46"/>
      <c r="J32" s="46"/>
      <c r="K32" s="46"/>
      <c r="L32" s="46"/>
      <c r="M32" s="46"/>
      <c r="N32" s="46"/>
      <c r="O32" s="46"/>
      <c r="P32" s="46"/>
    </row>
    <row r="33" spans="2:16" ht="12.75">
      <c r="B33" s="46"/>
      <c r="C33" s="46"/>
      <c r="D33" s="46"/>
      <c r="E33" s="46"/>
      <c r="F33" s="46"/>
      <c r="G33" s="46"/>
      <c r="H33" s="46"/>
      <c r="I33" s="46"/>
      <c r="J33" s="46"/>
      <c r="K33" s="46"/>
      <c r="L33" s="46"/>
      <c r="M33" s="46"/>
      <c r="N33" s="46"/>
      <c r="O33" s="46"/>
      <c r="P33" s="46"/>
    </row>
    <row r="34" spans="2:16" ht="12.75">
      <c r="B34" s="46"/>
      <c r="C34" s="46"/>
      <c r="D34" s="46"/>
      <c r="E34" s="46"/>
      <c r="F34" s="46"/>
      <c r="G34" s="46"/>
      <c r="H34" s="46"/>
      <c r="I34" s="46"/>
      <c r="J34" s="46"/>
      <c r="K34" s="46"/>
      <c r="L34" s="46"/>
      <c r="M34" s="46"/>
      <c r="N34" s="46"/>
      <c r="O34" s="46"/>
      <c r="P34" s="46"/>
    </row>
    <row r="35" spans="2:16" ht="12.75">
      <c r="B35" s="46"/>
      <c r="C35" s="46"/>
      <c r="D35" s="46"/>
      <c r="E35" s="46"/>
      <c r="F35" s="46"/>
      <c r="G35" s="46"/>
      <c r="H35" s="46"/>
      <c r="I35" s="46"/>
      <c r="J35" s="46"/>
      <c r="K35" s="46"/>
      <c r="L35" s="46"/>
      <c r="M35" s="46"/>
      <c r="N35" s="46"/>
      <c r="O35" s="46"/>
      <c r="P35" s="46"/>
    </row>
    <row r="36" spans="2:16" ht="12.75">
      <c r="B36" s="46"/>
      <c r="C36" s="46"/>
      <c r="D36" s="46"/>
      <c r="E36" s="46"/>
      <c r="F36" s="46"/>
      <c r="G36" s="46"/>
      <c r="H36" s="46"/>
      <c r="I36" s="46"/>
      <c r="J36" s="46"/>
      <c r="K36" s="46"/>
      <c r="L36" s="46"/>
      <c r="M36" s="46"/>
      <c r="N36" s="46"/>
      <c r="O36" s="46"/>
      <c r="P36" s="46"/>
    </row>
    <row r="37" spans="2:16" ht="12.75">
      <c r="B37" s="46"/>
      <c r="C37" s="46"/>
      <c r="D37" s="46"/>
      <c r="E37" s="46"/>
      <c r="F37" s="46"/>
      <c r="G37" s="46"/>
      <c r="H37" s="46"/>
      <c r="I37" s="46"/>
      <c r="J37" s="46"/>
      <c r="K37" s="46"/>
      <c r="L37" s="46"/>
      <c r="M37" s="46"/>
      <c r="N37" s="46"/>
      <c r="O37" s="46"/>
      <c r="P37" s="46"/>
    </row>
    <row r="38" spans="2:16" ht="12.75">
      <c r="B38" s="46"/>
      <c r="C38" s="46"/>
      <c r="D38" s="46"/>
      <c r="E38" s="46"/>
      <c r="F38" s="46"/>
      <c r="G38" s="46"/>
      <c r="H38" s="46"/>
      <c r="I38" s="46"/>
      <c r="J38" s="46"/>
      <c r="K38" s="46"/>
      <c r="L38" s="46"/>
      <c r="M38" s="46"/>
      <c r="N38" s="46"/>
      <c r="O38" s="46"/>
      <c r="P38" s="46"/>
    </row>
    <row r="39" spans="2:16" ht="12.75">
      <c r="B39" s="46"/>
      <c r="C39" s="46"/>
      <c r="D39" s="46"/>
      <c r="E39" s="46"/>
      <c r="F39" s="46"/>
      <c r="G39" s="46"/>
      <c r="H39" s="46"/>
      <c r="I39" s="46"/>
      <c r="J39" s="46"/>
      <c r="K39" s="46"/>
      <c r="L39" s="46"/>
      <c r="M39" s="46"/>
      <c r="N39" s="46"/>
      <c r="O39" s="46"/>
      <c r="P39" s="46"/>
    </row>
    <row r="40" spans="2:16" ht="12.75">
      <c r="B40" s="46"/>
      <c r="C40" s="46"/>
      <c r="D40" s="46"/>
      <c r="E40" s="46"/>
      <c r="F40" s="46"/>
      <c r="G40" s="46"/>
      <c r="H40" s="46"/>
      <c r="I40" s="46"/>
      <c r="J40" s="46"/>
      <c r="K40" s="46"/>
      <c r="L40" s="46"/>
      <c r="M40" s="46"/>
      <c r="N40" s="46"/>
      <c r="O40" s="46"/>
      <c r="P40" s="46"/>
    </row>
    <row r="41" spans="2:16" ht="12.75">
      <c r="B41" s="46"/>
      <c r="C41" s="46"/>
      <c r="D41" s="46"/>
      <c r="E41" s="46"/>
      <c r="F41" s="46"/>
      <c r="G41" s="46"/>
      <c r="H41" s="46"/>
      <c r="I41" s="46"/>
      <c r="J41" s="46"/>
      <c r="K41" s="46"/>
      <c r="L41" s="46"/>
      <c r="M41" s="46"/>
      <c r="N41" s="46"/>
      <c r="O41" s="46"/>
      <c r="P41" s="46"/>
    </row>
    <row r="42" spans="2:16" ht="12.75">
      <c r="B42" s="46"/>
      <c r="C42" s="46"/>
      <c r="D42" s="46"/>
      <c r="E42" s="46"/>
      <c r="F42" s="46"/>
      <c r="G42" s="46"/>
      <c r="H42" s="46"/>
      <c r="I42" s="46"/>
      <c r="J42" s="46"/>
      <c r="K42" s="46"/>
      <c r="L42" s="46"/>
      <c r="M42" s="46"/>
      <c r="N42" s="46"/>
      <c r="O42" s="46"/>
      <c r="P42" s="46"/>
    </row>
    <row r="43" spans="2:16" ht="12.75">
      <c r="B43" s="46"/>
      <c r="C43" s="46"/>
      <c r="D43" s="46"/>
      <c r="E43" s="46"/>
      <c r="F43" s="46"/>
      <c r="G43" s="46"/>
      <c r="H43" s="46"/>
      <c r="I43" s="46"/>
      <c r="J43" s="46"/>
      <c r="K43" s="46"/>
      <c r="L43" s="46"/>
      <c r="M43" s="46"/>
      <c r="N43" s="46"/>
      <c r="O43" s="46"/>
      <c r="P43" s="46"/>
    </row>
    <row r="44" spans="2:16" ht="12.75">
      <c r="B44" s="46"/>
      <c r="C44" s="46"/>
      <c r="D44" s="46"/>
      <c r="E44" s="46"/>
      <c r="F44" s="46"/>
      <c r="G44" s="46"/>
      <c r="H44" s="46"/>
      <c r="I44" s="46"/>
      <c r="J44" s="46"/>
      <c r="K44" s="46"/>
      <c r="L44" s="46"/>
      <c r="M44" s="46"/>
      <c r="N44" s="46"/>
      <c r="O44" s="46"/>
      <c r="P44" s="46"/>
    </row>
    <row r="45" spans="2:16" ht="12.75">
      <c r="B45" s="46"/>
      <c r="C45" s="46"/>
      <c r="D45" s="46"/>
      <c r="E45" s="46"/>
      <c r="F45" s="46"/>
      <c r="G45" s="46"/>
      <c r="H45" s="46"/>
      <c r="I45" s="46"/>
      <c r="J45" s="46"/>
      <c r="K45" s="46"/>
      <c r="L45" s="46"/>
      <c r="M45" s="46"/>
      <c r="N45" s="46"/>
      <c r="O45" s="46"/>
      <c r="P45" s="46"/>
    </row>
    <row r="46" spans="2:16" ht="12.75">
      <c r="B46" s="46"/>
      <c r="C46" s="46"/>
      <c r="D46" s="46"/>
      <c r="E46" s="46"/>
      <c r="F46" s="46"/>
      <c r="G46" s="46"/>
      <c r="H46" s="46"/>
      <c r="I46" s="46"/>
      <c r="J46" s="46"/>
      <c r="K46" s="46"/>
      <c r="L46" s="46"/>
      <c r="M46" s="46"/>
      <c r="N46" s="46"/>
      <c r="O46" s="46"/>
      <c r="P46" s="46"/>
    </row>
    <row r="47" spans="2:16" ht="12.75">
      <c r="B47" s="46"/>
      <c r="C47" s="46"/>
      <c r="D47" s="46"/>
      <c r="E47" s="46"/>
      <c r="F47" s="46"/>
      <c r="G47" s="46"/>
      <c r="H47" s="46"/>
      <c r="I47" s="46"/>
      <c r="J47" s="46"/>
      <c r="K47" s="46"/>
      <c r="L47" s="46"/>
      <c r="M47" s="46"/>
      <c r="N47" s="46"/>
      <c r="O47" s="46"/>
      <c r="P47" s="46"/>
    </row>
    <row r="48" spans="2:16" ht="12.75">
      <c r="B48" s="46"/>
      <c r="C48" s="46"/>
      <c r="D48" s="46"/>
      <c r="E48" s="46"/>
      <c r="F48" s="46"/>
      <c r="G48" s="46"/>
      <c r="H48" s="46"/>
      <c r="I48" s="46"/>
      <c r="J48" s="46"/>
      <c r="K48" s="46"/>
      <c r="L48" s="46"/>
      <c r="M48" s="46"/>
      <c r="N48" s="46"/>
      <c r="O48" s="46"/>
      <c r="P48" s="46"/>
    </row>
    <row r="49" s="46" customFormat="1" ht="12.75"/>
    <row r="50" s="46" customFormat="1" ht="12.75"/>
    <row r="51" s="46" customFormat="1" ht="12.75"/>
    <row r="52" s="46" customFormat="1" ht="12.75"/>
    <row r="53" s="46" customFormat="1" ht="12.75"/>
    <row r="54" s="46" customFormat="1" ht="12.75"/>
    <row r="55" s="46" customFormat="1" ht="12.75"/>
  </sheetData>
  <sheetProtection/>
  <mergeCells count="1">
    <mergeCell ref="B2:L2"/>
  </mergeCells>
  <printOptions horizontalCentered="1"/>
  <pageMargins left="0.75" right="0.75" top="1" bottom="1" header="0.5" footer="0.5"/>
  <pageSetup fitToHeight="1" fitToWidth="1" horizontalDpi="600" verticalDpi="600" orientation="landscape"/>
  <headerFooter alignWithMargins="0">
    <oddFooter>&amp;L&amp;A&amp;C&amp;F&amp;R&amp;D</oddFooter>
  </headerFooter>
</worksheet>
</file>

<file path=xl/worksheets/sheet2.xml><?xml version="1.0" encoding="utf-8"?>
<worksheet xmlns="http://schemas.openxmlformats.org/spreadsheetml/2006/main" xmlns:r="http://schemas.openxmlformats.org/officeDocument/2006/relationships">
  <sheetPr codeName="Sheet2"/>
  <dimension ref="A1:L64"/>
  <sheetViews>
    <sheetView zoomScale="115" zoomScaleNormal="115" zoomScalePageLayoutView="0" workbookViewId="0" topLeftCell="A1">
      <selection activeCell="F8" sqref="F8"/>
    </sheetView>
  </sheetViews>
  <sheetFormatPr defaultColWidth="9.140625" defaultRowHeight="12.75"/>
  <cols>
    <col min="1" max="1" width="3.421875" style="248" customWidth="1"/>
    <col min="2" max="3" width="9.140625" style="250" customWidth="1"/>
    <col min="4" max="4" width="7.7109375" style="250" customWidth="1"/>
    <col min="5" max="5" width="7.421875" style="250" customWidth="1"/>
    <col min="6" max="6" width="7.140625" style="250" customWidth="1"/>
    <col min="7" max="7" width="6.421875" style="250" customWidth="1"/>
    <col min="8" max="8" width="18.7109375" style="250" hidden="1" customWidth="1"/>
    <col min="9" max="9" width="6.421875" style="250" customWidth="1"/>
    <col min="10" max="10" width="8.421875" style="250" customWidth="1"/>
    <col min="11" max="11" width="6.00390625" style="250" customWidth="1"/>
    <col min="12" max="12" width="20.421875" style="250" customWidth="1"/>
    <col min="13" max="29" width="9.140625" style="248" customWidth="1"/>
    <col min="30" max="16384" width="9.140625" style="250" customWidth="1"/>
  </cols>
  <sheetData>
    <row r="1" spans="2:12" ht="9.75" customHeight="1">
      <c r="B1" s="249"/>
      <c r="C1" s="249"/>
      <c r="D1" s="249"/>
      <c r="E1" s="249"/>
      <c r="F1" s="249"/>
      <c r="G1" s="249"/>
      <c r="H1" s="249"/>
      <c r="I1" s="249"/>
      <c r="J1" s="249"/>
      <c r="K1" s="249"/>
      <c r="L1" s="249"/>
    </row>
    <row r="2" spans="2:12" ht="22.5" customHeight="1">
      <c r="B2" s="251" t="s">
        <v>338</v>
      </c>
      <c r="C2" s="249"/>
      <c r="D2" s="249"/>
      <c r="E2" s="249"/>
      <c r="F2" s="249"/>
      <c r="G2" s="249"/>
      <c r="H2" s="249"/>
      <c r="I2" s="249"/>
      <c r="J2" s="249"/>
      <c r="K2" s="249"/>
      <c r="L2" s="249"/>
    </row>
    <row r="3" spans="2:12" ht="67.5" customHeight="1">
      <c r="B3" s="409" t="s">
        <v>255</v>
      </c>
      <c r="C3" s="410"/>
      <c r="D3" s="410"/>
      <c r="E3" s="410"/>
      <c r="F3" s="410"/>
      <c r="G3" s="410"/>
      <c r="H3" s="410"/>
      <c r="I3" s="410"/>
      <c r="J3" s="410"/>
      <c r="K3" s="410"/>
      <c r="L3" s="410"/>
    </row>
    <row r="4" spans="2:12" ht="12.75">
      <c r="B4" s="252"/>
      <c r="C4" s="252"/>
      <c r="D4" s="252"/>
      <c r="E4" s="252"/>
      <c r="F4" s="252"/>
      <c r="G4" s="252"/>
      <c r="H4" s="252"/>
      <c r="I4" s="252"/>
      <c r="J4" s="252"/>
      <c r="K4" s="252"/>
      <c r="L4" s="252"/>
    </row>
    <row r="5" spans="2:12" ht="12.75">
      <c r="B5" s="253" t="s">
        <v>259</v>
      </c>
      <c r="C5" s="252"/>
      <c r="D5" s="252"/>
      <c r="E5" s="252"/>
      <c r="F5" s="252"/>
      <c r="G5" s="252"/>
      <c r="H5" s="252"/>
      <c r="I5" s="252"/>
      <c r="J5" s="252"/>
      <c r="K5" s="252"/>
      <c r="L5" s="252"/>
    </row>
    <row r="6" spans="2:12" ht="12.75">
      <c r="B6" s="253" t="s">
        <v>216</v>
      </c>
      <c r="C6" s="252"/>
      <c r="D6" s="252"/>
      <c r="E6" s="252"/>
      <c r="F6" s="252"/>
      <c r="G6" s="252"/>
      <c r="H6" s="252"/>
      <c r="I6" s="252"/>
      <c r="J6" s="252"/>
      <c r="K6" s="252"/>
      <c r="L6" s="252"/>
    </row>
    <row r="7" spans="2:12" ht="12.75">
      <c r="B7" s="253" t="s">
        <v>197</v>
      </c>
      <c r="C7" s="252"/>
      <c r="D7" s="252"/>
      <c r="E7" s="252"/>
      <c r="F7" s="252"/>
      <c r="G7" s="252"/>
      <c r="H7" s="252"/>
      <c r="I7" s="252"/>
      <c r="J7" s="252"/>
      <c r="K7" s="252"/>
      <c r="L7" s="252"/>
    </row>
    <row r="8" spans="2:12" ht="12.75">
      <c r="B8" s="253" t="s">
        <v>198</v>
      </c>
      <c r="C8" s="252"/>
      <c r="D8" s="252"/>
      <c r="E8" s="252"/>
      <c r="F8" s="252"/>
      <c r="G8" s="252"/>
      <c r="H8" s="252"/>
      <c r="I8" s="252"/>
      <c r="J8" s="252"/>
      <c r="K8" s="252"/>
      <c r="L8" s="252"/>
    </row>
    <row r="9" spans="2:12" ht="12.75">
      <c r="B9" s="253" t="s">
        <v>199</v>
      </c>
      <c r="C9" s="252"/>
      <c r="D9" s="252"/>
      <c r="E9" s="252"/>
      <c r="F9" s="252"/>
      <c r="G9" s="252"/>
      <c r="H9" s="252"/>
      <c r="I9" s="252"/>
      <c r="J9" s="252"/>
      <c r="K9" s="252"/>
      <c r="L9" s="252"/>
    </row>
    <row r="10" spans="2:12" ht="12.75">
      <c r="B10" s="253" t="s">
        <v>200</v>
      </c>
      <c r="C10" s="252"/>
      <c r="D10" s="252"/>
      <c r="E10" s="252"/>
      <c r="F10" s="252"/>
      <c r="G10" s="252"/>
      <c r="H10" s="252"/>
      <c r="I10" s="252"/>
      <c r="J10" s="252"/>
      <c r="K10" s="252"/>
      <c r="L10" s="252"/>
    </row>
    <row r="11" spans="2:12" ht="12.75">
      <c r="B11" s="253" t="s">
        <v>201</v>
      </c>
      <c r="C11" s="252"/>
      <c r="D11" s="252"/>
      <c r="E11" s="252"/>
      <c r="F11" s="252"/>
      <c r="G11" s="252"/>
      <c r="H11" s="252"/>
      <c r="I11" s="252"/>
      <c r="J11" s="252"/>
      <c r="K11" s="252"/>
      <c r="L11" s="252"/>
    </row>
    <row r="12" spans="2:12" ht="12.75">
      <c r="B12" s="253" t="s">
        <v>202</v>
      </c>
      <c r="C12" s="252"/>
      <c r="D12" s="252"/>
      <c r="E12" s="252"/>
      <c r="F12" s="252"/>
      <c r="G12" s="252"/>
      <c r="H12" s="252"/>
      <c r="I12" s="252"/>
      <c r="J12" s="252"/>
      <c r="K12" s="252"/>
      <c r="L12" s="252"/>
    </row>
    <row r="13" spans="2:12" ht="11.25" customHeight="1">
      <c r="B13" s="252"/>
      <c r="C13" s="252"/>
      <c r="D13" s="252"/>
      <c r="E13" s="252"/>
      <c r="F13" s="252"/>
      <c r="G13" s="252"/>
      <c r="H13" s="252"/>
      <c r="I13" s="252"/>
      <c r="J13" s="252"/>
      <c r="K13" s="252"/>
      <c r="L13" s="252"/>
    </row>
    <row r="14" spans="2:12" ht="81.75" customHeight="1" hidden="1">
      <c r="B14" s="252"/>
      <c r="C14" s="252"/>
      <c r="D14" s="252"/>
      <c r="E14" s="252"/>
      <c r="F14" s="252"/>
      <c r="G14" s="252"/>
      <c r="H14" s="252"/>
      <c r="I14" s="252"/>
      <c r="J14" s="252"/>
      <c r="K14" s="252"/>
      <c r="L14" s="252"/>
    </row>
    <row r="15" spans="2:12" ht="12.75" hidden="1">
      <c r="B15" s="252"/>
      <c r="C15" s="252"/>
      <c r="D15" s="252"/>
      <c r="E15" s="252"/>
      <c r="F15" s="252"/>
      <c r="G15" s="252"/>
      <c r="H15" s="252"/>
      <c r="I15" s="252"/>
      <c r="J15" s="252"/>
      <c r="K15" s="252"/>
      <c r="L15" s="252"/>
    </row>
    <row r="16" spans="2:12" ht="154.5" customHeight="1">
      <c r="B16" s="409" t="s">
        <v>152</v>
      </c>
      <c r="C16" s="409"/>
      <c r="D16" s="409"/>
      <c r="E16" s="409"/>
      <c r="F16" s="409"/>
      <c r="G16" s="409"/>
      <c r="H16" s="409"/>
      <c r="I16" s="409"/>
      <c r="J16" s="409"/>
      <c r="K16" s="409"/>
      <c r="L16" s="409"/>
    </row>
    <row r="17" spans="2:12" ht="12.75">
      <c r="B17" s="252"/>
      <c r="C17" s="252"/>
      <c r="D17" s="252"/>
      <c r="E17" s="252"/>
      <c r="F17" s="252"/>
      <c r="G17" s="252"/>
      <c r="H17" s="252"/>
      <c r="I17" s="252"/>
      <c r="J17" s="252"/>
      <c r="K17" s="252"/>
      <c r="L17" s="252"/>
    </row>
    <row r="18" spans="2:12" ht="12.75">
      <c r="B18" s="254" t="s">
        <v>370</v>
      </c>
      <c r="C18" s="252"/>
      <c r="D18" s="252"/>
      <c r="E18" s="252"/>
      <c r="F18" s="252"/>
      <c r="G18" s="252"/>
      <c r="H18" s="252"/>
      <c r="I18" s="252"/>
      <c r="J18" s="252"/>
      <c r="K18" s="252"/>
      <c r="L18" s="252"/>
    </row>
    <row r="19" spans="2:12" ht="111" customHeight="1">
      <c r="B19" s="409" t="s">
        <v>322</v>
      </c>
      <c r="C19" s="409"/>
      <c r="D19" s="409"/>
      <c r="E19" s="409"/>
      <c r="F19" s="409"/>
      <c r="G19" s="409"/>
      <c r="H19" s="409"/>
      <c r="I19" s="409"/>
      <c r="J19" s="409"/>
      <c r="K19" s="409"/>
      <c r="L19" s="409"/>
    </row>
    <row r="20" spans="2:12" ht="12.75">
      <c r="B20" s="253"/>
      <c r="C20" s="252"/>
      <c r="D20" s="252"/>
      <c r="E20" s="252"/>
      <c r="F20" s="252"/>
      <c r="G20" s="252"/>
      <c r="H20" s="252"/>
      <c r="I20" s="252"/>
      <c r="J20" s="252"/>
      <c r="K20" s="252"/>
      <c r="L20" s="252"/>
    </row>
    <row r="21" spans="2:12" ht="33" customHeight="1">
      <c r="B21" s="409" t="s">
        <v>208</v>
      </c>
      <c r="C21" s="409"/>
      <c r="D21" s="409"/>
      <c r="E21" s="409"/>
      <c r="F21" s="409"/>
      <c r="G21" s="409"/>
      <c r="H21" s="409"/>
      <c r="I21" s="409"/>
      <c r="J21" s="409"/>
      <c r="K21" s="409"/>
      <c r="L21" s="409"/>
    </row>
    <row r="22" spans="2:12" ht="12.75">
      <c r="B22" s="253"/>
      <c r="C22" s="252"/>
      <c r="D22" s="252"/>
      <c r="E22" s="252"/>
      <c r="F22" s="252"/>
      <c r="G22" s="252"/>
      <c r="H22" s="252"/>
      <c r="I22" s="252"/>
      <c r="J22" s="252"/>
      <c r="K22" s="252"/>
      <c r="L22" s="252"/>
    </row>
    <row r="23" spans="2:12" ht="12.75">
      <c r="B23" s="411" t="s">
        <v>195</v>
      </c>
      <c r="C23" s="411"/>
      <c r="D23" s="411"/>
      <c r="E23" s="411"/>
      <c r="F23" s="411"/>
      <c r="G23" s="411"/>
      <c r="H23" s="411"/>
      <c r="I23" s="411"/>
      <c r="J23" s="411"/>
      <c r="K23" s="411"/>
      <c r="L23" s="411"/>
    </row>
    <row r="24" spans="2:12" ht="5.25" customHeight="1">
      <c r="B24" s="252"/>
      <c r="C24" s="252"/>
      <c r="D24" s="252"/>
      <c r="E24" s="252"/>
      <c r="F24" s="252"/>
      <c r="G24" s="252"/>
      <c r="H24" s="252"/>
      <c r="I24" s="252"/>
      <c r="J24" s="252"/>
      <c r="K24" s="252"/>
      <c r="L24" s="252"/>
    </row>
    <row r="25" spans="2:12" ht="81.75" customHeight="1">
      <c r="B25" s="409" t="s">
        <v>87</v>
      </c>
      <c r="C25" s="409"/>
      <c r="D25" s="409"/>
      <c r="E25" s="409"/>
      <c r="F25" s="409"/>
      <c r="G25" s="409"/>
      <c r="H25" s="409"/>
      <c r="I25" s="409"/>
      <c r="J25" s="409"/>
      <c r="K25" s="409"/>
      <c r="L25" s="409"/>
    </row>
    <row r="26" spans="2:12" ht="12.75">
      <c r="B26" s="252"/>
      <c r="C26" s="252"/>
      <c r="D26" s="252"/>
      <c r="E26" s="252"/>
      <c r="F26" s="252"/>
      <c r="G26" s="252"/>
      <c r="H26" s="252"/>
      <c r="I26" s="252"/>
      <c r="J26" s="252"/>
      <c r="K26" s="252"/>
      <c r="L26" s="252"/>
    </row>
    <row r="27" spans="2:12" ht="12.75">
      <c r="B27" s="254" t="s">
        <v>196</v>
      </c>
      <c r="C27" s="252"/>
      <c r="D27" s="252"/>
      <c r="E27" s="252"/>
      <c r="F27" s="252"/>
      <c r="G27" s="252"/>
      <c r="H27" s="252"/>
      <c r="I27" s="252"/>
      <c r="J27" s="252"/>
      <c r="K27" s="252"/>
      <c r="L27" s="252"/>
    </row>
    <row r="28" spans="2:12" ht="94.5" customHeight="1">
      <c r="B28" s="409" t="s">
        <v>362</v>
      </c>
      <c r="C28" s="409"/>
      <c r="D28" s="409"/>
      <c r="E28" s="409"/>
      <c r="F28" s="409"/>
      <c r="G28" s="409"/>
      <c r="H28" s="409"/>
      <c r="I28" s="409"/>
      <c r="J28" s="409"/>
      <c r="K28" s="409"/>
      <c r="L28" s="409"/>
    </row>
    <row r="29" spans="2:12" ht="12.75">
      <c r="B29" s="252"/>
      <c r="C29" s="252"/>
      <c r="D29" s="252"/>
      <c r="E29" s="252"/>
      <c r="F29" s="252"/>
      <c r="G29" s="252"/>
      <c r="H29" s="252"/>
      <c r="I29" s="252"/>
      <c r="J29" s="252"/>
      <c r="K29" s="252"/>
      <c r="L29" s="252"/>
    </row>
    <row r="30" spans="2:12" ht="12.75">
      <c r="B30" s="253" t="s">
        <v>363</v>
      </c>
      <c r="C30" s="252"/>
      <c r="D30" s="252"/>
      <c r="E30" s="252"/>
      <c r="F30" s="252"/>
      <c r="G30" s="252"/>
      <c r="H30" s="252"/>
      <c r="I30" s="252"/>
      <c r="J30" s="252"/>
      <c r="K30" s="252"/>
      <c r="L30" s="252"/>
    </row>
    <row r="31" spans="2:12" ht="12.75">
      <c r="B31" s="253"/>
      <c r="C31" s="252"/>
      <c r="D31" s="252"/>
      <c r="E31" s="252"/>
      <c r="F31" s="252"/>
      <c r="G31" s="252"/>
      <c r="H31" s="252"/>
      <c r="I31" s="252"/>
      <c r="J31" s="252"/>
      <c r="K31" s="252"/>
      <c r="L31" s="252"/>
    </row>
    <row r="32" spans="2:12" ht="165" customHeight="1">
      <c r="B32" s="409" t="s">
        <v>313</v>
      </c>
      <c r="C32" s="409"/>
      <c r="D32" s="409"/>
      <c r="E32" s="409"/>
      <c r="F32" s="409"/>
      <c r="G32" s="409"/>
      <c r="H32" s="409"/>
      <c r="I32" s="409"/>
      <c r="J32" s="409"/>
      <c r="K32" s="409"/>
      <c r="L32" s="409"/>
    </row>
    <row r="33" spans="2:12" ht="193.5" customHeight="1">
      <c r="B33" s="409" t="s">
        <v>210</v>
      </c>
      <c r="C33" s="409"/>
      <c r="D33" s="409"/>
      <c r="E33" s="409"/>
      <c r="F33" s="409"/>
      <c r="G33" s="409"/>
      <c r="H33" s="409"/>
      <c r="I33" s="409"/>
      <c r="J33" s="409"/>
      <c r="K33" s="409"/>
      <c r="L33" s="409"/>
    </row>
    <row r="34" spans="2:12" ht="12.75">
      <c r="B34" s="252"/>
      <c r="C34" s="252"/>
      <c r="D34" s="252"/>
      <c r="E34" s="252"/>
      <c r="F34" s="252"/>
      <c r="G34" s="252"/>
      <c r="H34" s="252"/>
      <c r="I34" s="252"/>
      <c r="J34" s="252"/>
      <c r="K34" s="252"/>
      <c r="L34" s="252"/>
    </row>
    <row r="35" spans="2:12" ht="12.75">
      <c r="B35" s="254" t="s">
        <v>246</v>
      </c>
      <c r="C35" s="252"/>
      <c r="D35" s="252"/>
      <c r="E35" s="252"/>
      <c r="F35" s="252"/>
      <c r="G35" s="252"/>
      <c r="H35" s="252"/>
      <c r="I35" s="252"/>
      <c r="J35" s="252"/>
      <c r="K35" s="252"/>
      <c r="L35" s="252"/>
    </row>
    <row r="36" spans="2:12" ht="96" customHeight="1">
      <c r="B36" s="409" t="s">
        <v>299</v>
      </c>
      <c r="C36" s="410"/>
      <c r="D36" s="410"/>
      <c r="E36" s="410"/>
      <c r="F36" s="410"/>
      <c r="G36" s="410"/>
      <c r="H36" s="410"/>
      <c r="I36" s="410"/>
      <c r="J36" s="410"/>
      <c r="K36" s="410"/>
      <c r="L36" s="410"/>
    </row>
    <row r="37" spans="2:12" ht="18" customHeight="1">
      <c r="B37" s="254" t="s">
        <v>217</v>
      </c>
      <c r="C37" s="252"/>
      <c r="D37" s="252"/>
      <c r="E37" s="252"/>
      <c r="F37" s="252"/>
      <c r="G37" s="252"/>
      <c r="H37" s="252"/>
      <c r="I37" s="252"/>
      <c r="J37" s="252"/>
      <c r="K37" s="252"/>
      <c r="L37" s="252"/>
    </row>
    <row r="38" spans="2:12" ht="36.75" customHeight="1">
      <c r="B38" s="409" t="s">
        <v>353</v>
      </c>
      <c r="C38" s="409"/>
      <c r="D38" s="409"/>
      <c r="E38" s="409"/>
      <c r="F38" s="409"/>
      <c r="G38" s="409"/>
      <c r="H38" s="409"/>
      <c r="I38" s="409"/>
      <c r="J38" s="409"/>
      <c r="K38" s="409"/>
      <c r="L38" s="409"/>
    </row>
    <row r="39" spans="2:12" ht="18" customHeight="1">
      <c r="B39" s="254" t="s">
        <v>218</v>
      </c>
      <c r="C39" s="252"/>
      <c r="D39" s="252"/>
      <c r="E39" s="252"/>
      <c r="F39" s="252"/>
      <c r="G39" s="252"/>
      <c r="H39" s="252"/>
      <c r="I39" s="252"/>
      <c r="J39" s="252"/>
      <c r="K39" s="252"/>
      <c r="L39" s="252"/>
    </row>
    <row r="40" spans="2:12" ht="156" customHeight="1">
      <c r="B40" s="409" t="s">
        <v>66</v>
      </c>
      <c r="C40" s="409"/>
      <c r="D40" s="409"/>
      <c r="E40" s="409"/>
      <c r="F40" s="409"/>
      <c r="G40" s="409"/>
      <c r="H40" s="409"/>
      <c r="I40" s="409"/>
      <c r="J40" s="409"/>
      <c r="K40" s="409"/>
      <c r="L40" s="409"/>
    </row>
    <row r="41" spans="2:12" s="255" customFormat="1" ht="20.25" customHeight="1">
      <c r="B41" s="256" t="s">
        <v>324</v>
      </c>
      <c r="C41" s="256"/>
      <c r="D41" s="256"/>
      <c r="E41" s="256"/>
      <c r="F41" s="256"/>
      <c r="G41" s="256"/>
      <c r="H41" s="256"/>
      <c r="I41" s="256"/>
      <c r="J41" s="256"/>
      <c r="K41" s="256"/>
      <c r="L41" s="256"/>
    </row>
    <row r="42" spans="2:12" s="257" customFormat="1" ht="12.75">
      <c r="B42" s="258"/>
      <c r="C42" s="258"/>
      <c r="D42" s="258"/>
      <c r="E42" s="258"/>
      <c r="F42" s="258"/>
      <c r="G42" s="258"/>
      <c r="H42" s="258"/>
      <c r="I42" s="258"/>
      <c r="J42" s="258"/>
      <c r="K42" s="258"/>
      <c r="L42" s="258"/>
    </row>
    <row r="43" spans="2:12" s="257" customFormat="1" ht="12.75">
      <c r="B43" s="259" t="s">
        <v>325</v>
      </c>
      <c r="C43" s="258"/>
      <c r="D43" s="258"/>
      <c r="E43" s="258"/>
      <c r="F43" s="258"/>
      <c r="G43" s="258"/>
      <c r="H43" s="258"/>
      <c r="I43" s="258"/>
      <c r="J43" s="258"/>
      <c r="K43" s="258"/>
      <c r="L43" s="258"/>
    </row>
    <row r="44" spans="1:12" ht="12.75">
      <c r="A44" s="257"/>
      <c r="B44" s="260" t="s">
        <v>254</v>
      </c>
      <c r="C44" s="258"/>
      <c r="D44" s="258"/>
      <c r="E44" s="258"/>
      <c r="F44" s="258"/>
      <c r="G44" s="258"/>
      <c r="H44" s="258"/>
      <c r="I44" s="258"/>
      <c r="J44" s="258"/>
      <c r="K44" s="258"/>
      <c r="L44" s="258"/>
    </row>
    <row r="45" spans="2:12" ht="12.75">
      <c r="B45" s="248"/>
      <c r="C45" s="248"/>
      <c r="D45" s="248"/>
      <c r="E45" s="248"/>
      <c r="F45" s="248"/>
      <c r="G45" s="248"/>
      <c r="H45" s="248"/>
      <c r="I45" s="248"/>
      <c r="J45" s="248"/>
      <c r="K45" s="248"/>
      <c r="L45" s="248"/>
    </row>
    <row r="46" spans="2:12" ht="12.75">
      <c r="B46" s="248"/>
      <c r="C46" s="248"/>
      <c r="D46" s="248"/>
      <c r="E46" s="248"/>
      <c r="F46" s="248"/>
      <c r="G46" s="248"/>
      <c r="H46" s="248"/>
      <c r="I46" s="248"/>
      <c r="J46" s="248"/>
      <c r="K46" s="248"/>
      <c r="L46" s="248"/>
    </row>
    <row r="47" spans="2:12" ht="12.75">
      <c r="B47" s="248"/>
      <c r="C47" s="248"/>
      <c r="D47" s="248"/>
      <c r="E47" s="248"/>
      <c r="F47" s="248"/>
      <c r="G47" s="248"/>
      <c r="H47" s="248"/>
      <c r="I47" s="248"/>
      <c r="J47" s="248"/>
      <c r="K47" s="248"/>
      <c r="L47" s="248"/>
    </row>
    <row r="48" spans="2:12" ht="12.75">
      <c r="B48" s="248"/>
      <c r="C48" s="248"/>
      <c r="D48" s="248"/>
      <c r="E48" s="248"/>
      <c r="F48" s="248"/>
      <c r="G48" s="248"/>
      <c r="H48" s="248"/>
      <c r="I48" s="248"/>
      <c r="J48" s="248"/>
      <c r="K48" s="248"/>
      <c r="L48" s="248"/>
    </row>
    <row r="49" spans="2:12" ht="12.75">
      <c r="B49" s="248"/>
      <c r="C49" s="248"/>
      <c r="D49" s="248"/>
      <c r="E49" s="248"/>
      <c r="F49" s="248"/>
      <c r="G49" s="248"/>
      <c r="H49" s="248"/>
      <c r="I49" s="248"/>
      <c r="J49" s="248"/>
      <c r="K49" s="248"/>
      <c r="L49" s="248"/>
    </row>
    <row r="50" spans="2:12" ht="12.75">
      <c r="B50" s="248"/>
      <c r="C50" s="248"/>
      <c r="D50" s="248"/>
      <c r="E50" s="248"/>
      <c r="F50" s="248"/>
      <c r="G50" s="248"/>
      <c r="H50" s="248"/>
      <c r="I50" s="248"/>
      <c r="J50" s="248"/>
      <c r="K50" s="248"/>
      <c r="L50" s="248"/>
    </row>
    <row r="51" spans="2:12" ht="12.75">
      <c r="B51" s="248"/>
      <c r="C51" s="248"/>
      <c r="D51" s="248"/>
      <c r="E51" s="248"/>
      <c r="F51" s="248"/>
      <c r="G51" s="248"/>
      <c r="H51" s="248"/>
      <c r="I51" s="248"/>
      <c r="J51" s="248"/>
      <c r="K51" s="248"/>
      <c r="L51" s="248"/>
    </row>
    <row r="52" spans="2:12" ht="12.75">
      <c r="B52" s="248"/>
      <c r="C52" s="248"/>
      <c r="D52" s="248"/>
      <c r="E52" s="248"/>
      <c r="F52" s="248"/>
      <c r="G52" s="248"/>
      <c r="H52" s="248"/>
      <c r="I52" s="248"/>
      <c r="J52" s="248"/>
      <c r="K52" s="248"/>
      <c r="L52" s="248"/>
    </row>
    <row r="53" spans="2:12" ht="12.75">
      <c r="B53" s="248"/>
      <c r="C53" s="248"/>
      <c r="D53" s="248"/>
      <c r="E53" s="248"/>
      <c r="F53" s="248"/>
      <c r="G53" s="248"/>
      <c r="H53" s="248"/>
      <c r="I53" s="248"/>
      <c r="J53" s="248"/>
      <c r="K53" s="248"/>
      <c r="L53" s="248"/>
    </row>
    <row r="54" spans="2:12" ht="12.75">
      <c r="B54" s="248"/>
      <c r="C54" s="248"/>
      <c r="D54" s="248"/>
      <c r="E54" s="248"/>
      <c r="F54" s="248"/>
      <c r="G54" s="248"/>
      <c r="H54" s="248"/>
      <c r="I54" s="248"/>
      <c r="J54" s="248"/>
      <c r="K54" s="248"/>
      <c r="L54" s="248"/>
    </row>
    <row r="55" spans="2:12" ht="12.75">
      <c r="B55" s="248"/>
      <c r="C55" s="248"/>
      <c r="D55" s="248"/>
      <c r="E55" s="248"/>
      <c r="F55" s="248"/>
      <c r="G55" s="248"/>
      <c r="H55" s="248"/>
      <c r="I55" s="248"/>
      <c r="J55" s="248"/>
      <c r="K55" s="248"/>
      <c r="L55" s="248"/>
    </row>
    <row r="56" spans="2:12" ht="12.75">
      <c r="B56" s="248"/>
      <c r="C56" s="248"/>
      <c r="D56" s="248"/>
      <c r="E56" s="248"/>
      <c r="F56" s="248"/>
      <c r="G56" s="248"/>
      <c r="H56" s="248"/>
      <c r="I56" s="248"/>
      <c r="J56" s="248"/>
      <c r="K56" s="248"/>
      <c r="L56" s="248"/>
    </row>
    <row r="57" spans="2:12" ht="12.75">
      <c r="B57" s="248"/>
      <c r="C57" s="248"/>
      <c r="D57" s="248"/>
      <c r="E57" s="248"/>
      <c r="F57" s="248"/>
      <c r="G57" s="248"/>
      <c r="H57" s="248"/>
      <c r="I57" s="248"/>
      <c r="J57" s="248"/>
      <c r="K57" s="248"/>
      <c r="L57" s="248"/>
    </row>
    <row r="58" spans="2:12" ht="12.75">
      <c r="B58" s="248"/>
      <c r="C58" s="248"/>
      <c r="D58" s="248"/>
      <c r="E58" s="248"/>
      <c r="F58" s="248"/>
      <c r="G58" s="248"/>
      <c r="H58" s="248"/>
      <c r="I58" s="248"/>
      <c r="J58" s="248"/>
      <c r="K58" s="248"/>
      <c r="L58" s="248"/>
    </row>
    <row r="59" spans="2:12" ht="12.75">
      <c r="B59" s="248"/>
      <c r="C59" s="248"/>
      <c r="D59" s="248"/>
      <c r="E59" s="248"/>
      <c r="F59" s="248"/>
      <c r="G59" s="248"/>
      <c r="H59" s="248"/>
      <c r="I59" s="248"/>
      <c r="J59" s="248"/>
      <c r="K59" s="248"/>
      <c r="L59" s="248"/>
    </row>
    <row r="60" spans="2:12" ht="12.75">
      <c r="B60" s="248"/>
      <c r="C60" s="248"/>
      <c r="D60" s="248"/>
      <c r="E60" s="248"/>
      <c r="F60" s="248"/>
      <c r="G60" s="248"/>
      <c r="H60" s="248"/>
      <c r="I60" s="248"/>
      <c r="J60" s="248"/>
      <c r="K60" s="248"/>
      <c r="L60" s="248"/>
    </row>
    <row r="61" spans="2:12" ht="12.75">
      <c r="B61" s="248"/>
      <c r="C61" s="248"/>
      <c r="D61" s="248"/>
      <c r="E61" s="248"/>
      <c r="F61" s="248"/>
      <c r="G61" s="248"/>
      <c r="H61" s="248"/>
      <c r="I61" s="248"/>
      <c r="J61" s="248"/>
      <c r="K61" s="248"/>
      <c r="L61" s="248"/>
    </row>
    <row r="62" spans="2:12" ht="12.75">
      <c r="B62" s="248"/>
      <c r="C62" s="248"/>
      <c r="D62" s="248"/>
      <c r="E62" s="248"/>
      <c r="F62" s="248"/>
      <c r="G62" s="248"/>
      <c r="H62" s="248"/>
      <c r="I62" s="248"/>
      <c r="J62" s="248"/>
      <c r="K62" s="248"/>
      <c r="L62" s="248"/>
    </row>
    <row r="63" spans="2:12" ht="12.75">
      <c r="B63" s="248"/>
      <c r="C63" s="248"/>
      <c r="D63" s="248"/>
      <c r="E63" s="248"/>
      <c r="F63" s="248"/>
      <c r="G63" s="248"/>
      <c r="H63" s="248"/>
      <c r="I63" s="248"/>
      <c r="J63" s="248"/>
      <c r="K63" s="248"/>
      <c r="L63" s="248"/>
    </row>
    <row r="64" spans="2:12" ht="12.75">
      <c r="B64" s="248"/>
      <c r="C64" s="248"/>
      <c r="D64" s="248"/>
      <c r="E64" s="248"/>
      <c r="F64" s="248"/>
      <c r="G64" s="248"/>
      <c r="H64" s="248"/>
      <c r="I64" s="248"/>
      <c r="J64" s="248"/>
      <c r="K64" s="248"/>
      <c r="L64" s="248"/>
    </row>
  </sheetData>
  <sheetProtection/>
  <mergeCells count="12">
    <mergeCell ref="B28:L28"/>
    <mergeCell ref="B32:L32"/>
    <mergeCell ref="B33:L33"/>
    <mergeCell ref="B36:L36"/>
    <mergeCell ref="B38:L38"/>
    <mergeCell ref="B40:L40"/>
    <mergeCell ref="B3:L3"/>
    <mergeCell ref="B16:L16"/>
    <mergeCell ref="B19:L19"/>
    <mergeCell ref="B21:L21"/>
    <mergeCell ref="B23:L23"/>
    <mergeCell ref="B25:L25"/>
  </mergeCells>
  <hyperlinks>
    <hyperlink ref="B43" r:id="rId1" display="http://www.farm-mgmt.wsu.edu/WhatsNew.htm"/>
    <hyperlink ref="B44" r:id="rId2" display="http://csanr.wsu.edu/Publications/FarmMgmtEconomics.htm"/>
  </hyperlinks>
  <printOptions horizontalCentered="1"/>
  <pageMargins left="0.75" right="0.75" top="1" bottom="1" header="0.5" footer="0.5"/>
  <pageSetup fitToHeight="3" horizontalDpi="600" verticalDpi="600" orientation="portrait" scale="91"/>
  <headerFooter alignWithMargins="0">
    <oddFooter>&amp;L&amp;A&amp;C&amp;F&amp;R&amp;D</oddFooter>
  </headerFooter>
  <rowBreaks count="2" manualBreakCount="2">
    <brk id="26" min="1" max="11" man="1"/>
    <brk id="34" min="1" max="11" man="1"/>
  </rowBreaks>
  <drawing r:id="rId3"/>
</worksheet>
</file>

<file path=xl/worksheets/sheet3.xml><?xml version="1.0" encoding="utf-8"?>
<worksheet xmlns="http://schemas.openxmlformats.org/spreadsheetml/2006/main" xmlns:r="http://schemas.openxmlformats.org/officeDocument/2006/relationships">
  <sheetPr codeName="Sheet1">
    <tabColor indexed="13"/>
  </sheetPr>
  <dimension ref="A1:Q153"/>
  <sheetViews>
    <sheetView zoomScalePageLayoutView="0" workbookViewId="0" topLeftCell="A1">
      <selection activeCell="F15" sqref="F15"/>
    </sheetView>
  </sheetViews>
  <sheetFormatPr defaultColWidth="37.00390625" defaultRowHeight="12.75"/>
  <cols>
    <col min="1" max="1" width="4.7109375" style="46" customWidth="1"/>
    <col min="2" max="2" width="31.7109375" style="0" customWidth="1"/>
    <col min="3" max="3" width="9.7109375" style="0" bestFit="1" customWidth="1"/>
    <col min="4" max="4" width="5.140625" style="72" bestFit="1" customWidth="1"/>
    <col min="5" max="5" width="7.7109375" style="106" bestFit="1" customWidth="1"/>
    <col min="6" max="6" width="12.7109375" style="107" customWidth="1"/>
    <col min="7" max="7" width="7.7109375" style="106" customWidth="1"/>
    <col min="8" max="8" width="14.421875" style="108" customWidth="1"/>
    <col min="9" max="9" width="10.140625" style="0" customWidth="1"/>
    <col min="10" max="10" width="8.00390625" style="0" bestFit="1" customWidth="1"/>
    <col min="11" max="11" width="8.140625" style="0" bestFit="1" customWidth="1"/>
    <col min="12" max="12" width="7.7109375" style="0" customWidth="1"/>
    <col min="13" max="13" width="12.421875" style="0" customWidth="1"/>
    <col min="14" max="14" width="6.00390625" style="46" customWidth="1"/>
    <col min="15" max="15" width="8.7109375" style="46" customWidth="1"/>
    <col min="16" max="16" width="6.8515625" style="46" customWidth="1"/>
    <col min="17" max="17" width="37.00390625" style="46" customWidth="1"/>
  </cols>
  <sheetData>
    <row r="1" spans="4:8" s="46" customFormat="1" ht="12.75">
      <c r="D1" s="77"/>
      <c r="E1" s="103"/>
      <c r="F1" s="104"/>
      <c r="G1" s="103"/>
      <c r="H1" s="105"/>
    </row>
    <row r="2" spans="2:8" s="46" customFormat="1" ht="18" customHeight="1">
      <c r="B2" s="274" t="s">
        <v>335</v>
      </c>
      <c r="C2" s="275"/>
      <c r="D2" s="276"/>
      <c r="E2" s="277"/>
      <c r="F2" s="278"/>
      <c r="G2" s="277"/>
      <c r="H2" s="279"/>
    </row>
    <row r="3" spans="2:8" s="46" customFormat="1" ht="12.75">
      <c r="B3" s="280" t="s">
        <v>314</v>
      </c>
      <c r="C3" s="281"/>
      <c r="D3" s="282"/>
      <c r="E3" s="283"/>
      <c r="F3" s="284"/>
      <c r="G3" s="283"/>
      <c r="H3" s="285"/>
    </row>
    <row r="4" spans="2:8" s="46" customFormat="1" ht="12.75">
      <c r="B4" s="286" t="s">
        <v>315</v>
      </c>
      <c r="C4" s="287"/>
      <c r="D4" s="288"/>
      <c r="E4" s="289"/>
      <c r="F4" s="290"/>
      <c r="G4" s="289"/>
      <c r="H4" s="291"/>
    </row>
    <row r="5" spans="2:8" s="46" customFormat="1" ht="12.75">
      <c r="B5" s="292" t="s">
        <v>316</v>
      </c>
      <c r="C5" s="293"/>
      <c r="D5" s="294"/>
      <c r="E5" s="295"/>
      <c r="F5" s="296"/>
      <c r="G5" s="295"/>
      <c r="H5" s="297"/>
    </row>
    <row r="6" spans="1:8" s="46" customFormat="1" ht="12.75">
      <c r="A6" s="155"/>
      <c r="B6" s="298" t="s">
        <v>334</v>
      </c>
      <c r="C6" s="299"/>
      <c r="D6" s="300"/>
      <c r="E6" s="301"/>
      <c r="F6" s="302"/>
      <c r="G6" s="303"/>
      <c r="H6" s="304"/>
    </row>
    <row r="7" spans="1:8" s="46" customFormat="1" ht="12.75">
      <c r="A7" s="155"/>
      <c r="D7" s="77"/>
      <c r="E7" s="239"/>
      <c r="F7" s="104"/>
      <c r="G7" s="103"/>
      <c r="H7" s="105"/>
    </row>
    <row r="8" spans="1:17" s="156" customFormat="1" ht="24" customHeight="1">
      <c r="A8" s="183"/>
      <c r="B8" s="273" t="s">
        <v>79</v>
      </c>
      <c r="C8" s="268"/>
      <c r="D8" s="269"/>
      <c r="E8" s="270"/>
      <c r="F8" s="271"/>
      <c r="G8" s="270"/>
      <c r="H8" s="272"/>
      <c r="I8" s="268"/>
      <c r="J8" s="268"/>
      <c r="K8" s="268"/>
      <c r="L8" s="268"/>
      <c r="M8" s="268"/>
      <c r="N8" s="46"/>
      <c r="O8" s="46"/>
      <c r="P8" s="183"/>
      <c r="Q8" s="183"/>
    </row>
    <row r="9" spans="1:17" s="133" customFormat="1" ht="12.75">
      <c r="A9" s="149"/>
      <c r="B9" s="135"/>
      <c r="C9" s="136"/>
      <c r="D9" s="137"/>
      <c r="E9" s="138"/>
      <c r="F9" s="139"/>
      <c r="G9" s="138"/>
      <c r="H9" s="139"/>
      <c r="I9" s="137" t="s">
        <v>144</v>
      </c>
      <c r="J9" s="136"/>
      <c r="K9" s="136"/>
      <c r="L9" s="136"/>
      <c r="M9" s="238" t="s">
        <v>354</v>
      </c>
      <c r="N9" s="12"/>
      <c r="O9" s="12"/>
      <c r="P9" s="246"/>
      <c r="Q9" s="149"/>
    </row>
    <row r="10" spans="1:17" s="133" customFormat="1" ht="12.75">
      <c r="A10" s="149"/>
      <c r="B10" s="142" t="s">
        <v>107</v>
      </c>
      <c r="C10" s="137" t="s">
        <v>144</v>
      </c>
      <c r="D10" s="137"/>
      <c r="E10" s="138"/>
      <c r="F10" s="139"/>
      <c r="G10" s="138" t="s">
        <v>102</v>
      </c>
      <c r="H10" s="140" t="s">
        <v>145</v>
      </c>
      <c r="I10" s="137" t="s">
        <v>104</v>
      </c>
      <c r="J10" s="140" t="s">
        <v>145</v>
      </c>
      <c r="K10" s="137" t="s">
        <v>106</v>
      </c>
      <c r="L10" s="137"/>
      <c r="M10" s="174" t="s">
        <v>279</v>
      </c>
      <c r="N10" s="12"/>
      <c r="O10" s="12"/>
      <c r="P10" s="246"/>
      <c r="Q10" s="149"/>
    </row>
    <row r="11" spans="1:17" s="133" customFormat="1" ht="12.75">
      <c r="A11" s="149"/>
      <c r="B11" s="136"/>
      <c r="C11" s="137" t="s">
        <v>147</v>
      </c>
      <c r="D11" s="137"/>
      <c r="E11" s="138" t="s">
        <v>101</v>
      </c>
      <c r="F11" s="141" t="s">
        <v>323</v>
      </c>
      <c r="G11" s="138" t="s">
        <v>108</v>
      </c>
      <c r="H11" s="140" t="s">
        <v>103</v>
      </c>
      <c r="I11" s="137" t="s">
        <v>111</v>
      </c>
      <c r="J11" s="140" t="s">
        <v>105</v>
      </c>
      <c r="K11" s="137" t="s">
        <v>112</v>
      </c>
      <c r="L11" s="137" t="s">
        <v>113</v>
      </c>
      <c r="M11" s="174" t="s">
        <v>280</v>
      </c>
      <c r="N11" s="308">
        <v>0.67</v>
      </c>
      <c r="O11" s="12" t="s">
        <v>355</v>
      </c>
      <c r="P11" s="246"/>
      <c r="Q11" s="149"/>
    </row>
    <row r="12" spans="1:17" s="133" customFormat="1" ht="12.75">
      <c r="A12" s="149"/>
      <c r="B12" s="136"/>
      <c r="C12" s="143" t="s">
        <v>224</v>
      </c>
      <c r="D12" s="143" t="s">
        <v>369</v>
      </c>
      <c r="E12" s="144" t="s">
        <v>60</v>
      </c>
      <c r="F12" s="144" t="s">
        <v>109</v>
      </c>
      <c r="G12" s="145" t="s">
        <v>110</v>
      </c>
      <c r="H12" s="145" t="s">
        <v>110</v>
      </c>
      <c r="I12" s="145" t="s">
        <v>110</v>
      </c>
      <c r="J12" s="145" t="s">
        <v>110</v>
      </c>
      <c r="K12" s="145" t="s">
        <v>110</v>
      </c>
      <c r="L12" s="145" t="s">
        <v>110</v>
      </c>
      <c r="M12" s="143" t="s">
        <v>281</v>
      </c>
      <c r="N12" s="308">
        <v>0.33</v>
      </c>
      <c r="O12" s="12" t="s">
        <v>356</v>
      </c>
      <c r="P12" s="246"/>
      <c r="Q12" s="149"/>
    </row>
    <row r="13" spans="2:16" ht="12.75">
      <c r="B13" s="263" t="s">
        <v>114</v>
      </c>
      <c r="C13" s="264">
        <f>+'Winter Wheat'!$J$73</f>
        <v>325.632241625</v>
      </c>
      <c r="D13" s="118" t="s">
        <v>91</v>
      </c>
      <c r="E13" s="305">
        <v>78</v>
      </c>
      <c r="F13" s="306">
        <v>5.15</v>
      </c>
      <c r="G13" s="262">
        <f>+F13*E13</f>
        <v>401.70000000000005</v>
      </c>
      <c r="H13" s="266">
        <f>+E13*F13-C13</f>
        <v>76.06775837500004</v>
      </c>
      <c r="I13" s="267">
        <f>+'Winter Wheat'!$J$52</f>
        <v>135.75346778571424</v>
      </c>
      <c r="J13" s="267">
        <f>+G13-I13</f>
        <v>265.9465322142858</v>
      </c>
      <c r="K13" s="267">
        <f>+'Winter Wheat'!$J$70</f>
        <v>189.87877383928574</v>
      </c>
      <c r="L13" s="267">
        <f>'Winter Wheat'!$J$36</f>
        <v>12.488571428571426</v>
      </c>
      <c r="M13" s="267">
        <f>+'Winter Wheat'!$J$62</f>
        <v>91.8528</v>
      </c>
      <c r="N13" s="12"/>
      <c r="O13" s="12"/>
      <c r="P13" s="12"/>
    </row>
    <row r="14" spans="2:16" ht="12.75">
      <c r="B14" s="263" t="s">
        <v>38</v>
      </c>
      <c r="C14" s="261">
        <f>+'Hard Red Spring Wheat'!$J$76</f>
        <v>237.74767687500014</v>
      </c>
      <c r="D14" s="118" t="s">
        <v>91</v>
      </c>
      <c r="E14" s="305">
        <v>42</v>
      </c>
      <c r="F14" s="306">
        <v>6.34</v>
      </c>
      <c r="G14" s="262">
        <f>+F14*E14</f>
        <v>266.28</v>
      </c>
      <c r="H14" s="266">
        <f>+E14*F14-C14</f>
        <v>28.532323124999834</v>
      </c>
      <c r="I14" s="262">
        <f>+'Hard Red Spring Wheat'!$J$56</f>
        <v>157.36344830357154</v>
      </c>
      <c r="J14" s="267">
        <f>+G14-I14</f>
        <v>108.91655169642843</v>
      </c>
      <c r="K14" s="267">
        <f>+'Hard Red Spring Wheat'!$J$73</f>
        <v>80.38422857142858</v>
      </c>
      <c r="L14" s="262">
        <f>'Hard Red Spring Wheat'!$J$40</f>
        <v>14.718571428571426</v>
      </c>
      <c r="M14" s="262">
        <f>+'Hard Red Spring Wheat'!$J$65</f>
        <v>54.4308</v>
      </c>
      <c r="N14" s="12"/>
      <c r="O14" s="12"/>
      <c r="P14" s="12"/>
    </row>
    <row r="15" spans="2:16" ht="12.75">
      <c r="B15" s="263" t="s">
        <v>115</v>
      </c>
      <c r="C15" s="261">
        <f>+'Spring Barley'!$J$74</f>
        <v>183.37740187500006</v>
      </c>
      <c r="D15" s="118" t="s">
        <v>180</v>
      </c>
      <c r="E15" s="305">
        <v>1.5</v>
      </c>
      <c r="F15" s="306">
        <v>107</v>
      </c>
      <c r="G15" s="262">
        <f>+F15*E15</f>
        <v>160.5</v>
      </c>
      <c r="H15" s="266">
        <f>+E15*F15-C15</f>
        <v>-22.87740187500006</v>
      </c>
      <c r="I15" s="262">
        <f>+'Spring Barley'!$J$55</f>
        <v>134.2540733035715</v>
      </c>
      <c r="J15" s="267">
        <f>+G15-I15</f>
        <v>26.245926696428512</v>
      </c>
      <c r="K15" s="267">
        <f>+'Spring Barley'!$J$71</f>
        <v>49.12332857142858</v>
      </c>
      <c r="L15" s="262">
        <f>'Spring Barley'!$J$39</f>
        <v>14.718571428571426</v>
      </c>
      <c r="M15" s="262">
        <f>+'Spring Barley'!$J$63</f>
        <v>23.169900000000005</v>
      </c>
      <c r="N15" s="12"/>
      <c r="O15" s="12"/>
      <c r="P15" s="12"/>
    </row>
    <row r="16" spans="2:16" ht="12.75">
      <c r="B16" s="263" t="s">
        <v>361</v>
      </c>
      <c r="C16" s="261">
        <f>+'Chem Fallow'!$J$55</f>
        <v>68.58949107142857</v>
      </c>
      <c r="D16" s="109"/>
      <c r="E16" s="307"/>
      <c r="F16" s="307"/>
      <c r="G16" s="262">
        <f>+F16*E16</f>
        <v>0</v>
      </c>
      <c r="H16" s="266">
        <f>+E16*F16-C16</f>
        <v>-68.58949107142857</v>
      </c>
      <c r="I16" s="262">
        <f>+'Chem Fallow'!$J$44</f>
        <v>58.136062499999994</v>
      </c>
      <c r="J16" s="267">
        <f>+G16-I16</f>
        <v>-58.136062499999994</v>
      </c>
      <c r="K16" s="267">
        <f>+'Chem Fallow'!$J$53</f>
        <v>10.45342857142857</v>
      </c>
      <c r="L16" s="262">
        <f>'Chem Fallow'!$J$29</f>
        <v>8.64857142857143</v>
      </c>
      <c r="M16" s="267">
        <f>'Chem Fallow'!$J$50</f>
        <v>0</v>
      </c>
      <c r="N16" s="12"/>
      <c r="O16" s="12"/>
      <c r="P16" s="12"/>
    </row>
    <row r="17" spans="1:17" s="71" customFormat="1" ht="12.75">
      <c r="A17" s="73"/>
      <c r="B17" s="240" t="s">
        <v>283</v>
      </c>
      <c r="C17" s="170"/>
      <c r="D17" s="170"/>
      <c r="E17" s="171"/>
      <c r="F17" s="171"/>
      <c r="G17" s="171"/>
      <c r="H17" s="171"/>
      <c r="I17" s="171"/>
      <c r="J17" s="171"/>
      <c r="K17" s="171"/>
      <c r="L17" s="12"/>
      <c r="M17" s="12"/>
      <c r="N17" s="12"/>
      <c r="O17" s="12"/>
      <c r="P17" s="74"/>
      <c r="Q17" s="73"/>
    </row>
    <row r="18" spans="2:16" ht="12.75">
      <c r="B18" s="175" t="s">
        <v>282</v>
      </c>
      <c r="C18" s="91"/>
      <c r="D18" s="91"/>
      <c r="E18" s="176"/>
      <c r="F18" s="176"/>
      <c r="G18" s="176"/>
      <c r="H18" s="176"/>
      <c r="I18" s="176"/>
      <c r="J18" s="176"/>
      <c r="K18" s="176"/>
      <c r="L18" s="12"/>
      <c r="M18" s="12"/>
      <c r="N18" s="12"/>
      <c r="O18" s="12"/>
      <c r="P18" s="12"/>
    </row>
    <row r="19" spans="2:16" ht="12.75">
      <c r="B19" s="175" t="s">
        <v>251</v>
      </c>
      <c r="C19" s="91"/>
      <c r="D19" s="91"/>
      <c r="E19" s="176"/>
      <c r="F19" s="176"/>
      <c r="G19" s="176"/>
      <c r="H19" s="176"/>
      <c r="I19" s="176"/>
      <c r="J19" s="176"/>
      <c r="K19" s="176"/>
      <c r="L19" s="12"/>
      <c r="M19" s="12"/>
      <c r="N19" s="12"/>
      <c r="O19" s="12"/>
      <c r="P19" s="12"/>
    </row>
    <row r="20" spans="2:16" ht="12.75">
      <c r="B20" s="172" t="s">
        <v>360</v>
      </c>
      <c r="C20" s="173"/>
      <c r="D20" s="173"/>
      <c r="E20" s="173"/>
      <c r="F20" s="173"/>
      <c r="G20" s="173"/>
      <c r="H20" s="173"/>
      <c r="I20" s="173"/>
      <c r="J20" s="173"/>
      <c r="K20" s="173"/>
      <c r="L20" s="173"/>
      <c r="M20" s="173"/>
      <c r="N20" s="12"/>
      <c r="O20" s="12"/>
      <c r="P20" s="12"/>
    </row>
    <row r="21" spans="1:17" s="71" customFormat="1" ht="12.75">
      <c r="A21" s="73"/>
      <c r="B21" s="169"/>
      <c r="C21" s="170"/>
      <c r="D21" s="170"/>
      <c r="E21" s="171"/>
      <c r="F21" s="171"/>
      <c r="G21" s="171"/>
      <c r="H21" s="171"/>
      <c r="I21" s="171"/>
      <c r="J21" s="171"/>
      <c r="K21" s="171"/>
      <c r="L21" s="74"/>
      <c r="M21" s="74"/>
      <c r="N21" s="12"/>
      <c r="O21" s="12"/>
      <c r="P21" s="74"/>
      <c r="Q21" s="73"/>
    </row>
    <row r="22" spans="1:17" s="133" customFormat="1" ht="14.25" customHeight="1">
      <c r="A22" s="149"/>
      <c r="B22" s="138"/>
      <c r="C22" s="140" t="s">
        <v>144</v>
      </c>
      <c r="D22" s="138"/>
      <c r="E22" s="138"/>
      <c r="F22" s="140"/>
      <c r="G22" s="140"/>
      <c r="H22" s="140"/>
      <c r="I22" s="137" t="s">
        <v>144</v>
      </c>
      <c r="J22" s="140"/>
      <c r="K22" s="140"/>
      <c r="L22" s="140"/>
      <c r="M22" s="140" t="s">
        <v>146</v>
      </c>
      <c r="N22" s="12"/>
      <c r="O22" s="12"/>
      <c r="P22" s="246"/>
      <c r="Q22" s="149"/>
    </row>
    <row r="23" spans="1:17" s="133" customFormat="1" ht="12.75">
      <c r="A23" s="149"/>
      <c r="B23" s="142" t="s">
        <v>116</v>
      </c>
      <c r="C23" s="137" t="s">
        <v>147</v>
      </c>
      <c r="D23" s="138"/>
      <c r="E23" s="138"/>
      <c r="F23" s="140"/>
      <c r="G23" s="138" t="s">
        <v>102</v>
      </c>
      <c r="H23" s="140" t="s">
        <v>145</v>
      </c>
      <c r="I23" s="137" t="s">
        <v>104</v>
      </c>
      <c r="J23" s="140" t="s">
        <v>145</v>
      </c>
      <c r="K23" s="137" t="s">
        <v>106</v>
      </c>
      <c r="L23" s="137"/>
      <c r="M23" s="137" t="s">
        <v>80</v>
      </c>
      <c r="N23" s="12"/>
      <c r="O23" s="12"/>
      <c r="P23" s="246"/>
      <c r="Q23" s="149"/>
    </row>
    <row r="24" spans="1:17" s="133" customFormat="1" ht="12.75">
      <c r="A24" s="149"/>
      <c r="B24" s="138"/>
      <c r="C24" s="137" t="s">
        <v>224</v>
      </c>
      <c r="D24" s="138"/>
      <c r="E24" s="138"/>
      <c r="F24" s="140"/>
      <c r="G24" s="146" t="s">
        <v>108</v>
      </c>
      <c r="H24" s="140" t="s">
        <v>103</v>
      </c>
      <c r="I24" s="137" t="s">
        <v>111</v>
      </c>
      <c r="J24" s="140" t="s">
        <v>105</v>
      </c>
      <c r="K24" s="147" t="s">
        <v>112</v>
      </c>
      <c r="L24" s="137" t="s">
        <v>113</v>
      </c>
      <c r="M24" s="137" t="s">
        <v>61</v>
      </c>
      <c r="N24" s="12"/>
      <c r="O24" s="12"/>
      <c r="P24" s="246"/>
      <c r="Q24" s="149"/>
    </row>
    <row r="25" spans="1:17" s="133" customFormat="1" ht="12" customHeight="1">
      <c r="A25" s="149"/>
      <c r="B25" s="142"/>
      <c r="C25" s="148" t="s">
        <v>62</v>
      </c>
      <c r="D25" s="137"/>
      <c r="E25" s="138"/>
      <c r="F25" s="140"/>
      <c r="G25" s="148" t="s">
        <v>62</v>
      </c>
      <c r="H25" s="148" t="s">
        <v>62</v>
      </c>
      <c r="I25" s="148" t="s">
        <v>62</v>
      </c>
      <c r="J25" s="148" t="s">
        <v>62</v>
      </c>
      <c r="K25" s="148" t="s">
        <v>62</v>
      </c>
      <c r="L25" s="148" t="s">
        <v>62</v>
      </c>
      <c r="M25" s="148" t="s">
        <v>62</v>
      </c>
      <c r="N25" s="12"/>
      <c r="O25" s="12"/>
      <c r="P25" s="246"/>
      <c r="Q25" s="149"/>
    </row>
    <row r="26" spans="1:16" ht="12.75">
      <c r="A26" s="149"/>
      <c r="B26" s="109" t="s">
        <v>59</v>
      </c>
      <c r="C26" s="261">
        <f>AVERAGE($C$13,$C$14,0)</f>
        <v>187.79330616666672</v>
      </c>
      <c r="D26" s="122"/>
      <c r="E26" s="122"/>
      <c r="F26" s="262"/>
      <c r="G26" s="261">
        <f>AVERAGE($G$13,$G$14,0)</f>
        <v>222.66</v>
      </c>
      <c r="H26" s="261">
        <f>AVERAGE(H13,H14,0)</f>
        <v>34.866693833333294</v>
      </c>
      <c r="I26" s="261">
        <f>AVERAGE(I13,I14,I16)</f>
        <v>117.08432619642859</v>
      </c>
      <c r="J26" s="261">
        <f>AVERAGE(J13,J14,0)</f>
        <v>124.95436130357142</v>
      </c>
      <c r="K26" s="261">
        <f>AVERAGE(K13,K14,K16)</f>
        <v>93.57214366071429</v>
      </c>
      <c r="L26" s="261">
        <f>AVERAGE(L13,L14,L16)</f>
        <v>11.951904761904762</v>
      </c>
      <c r="M26" s="261">
        <f>AVERAGE(M13,M14,M16)</f>
        <v>48.7612</v>
      </c>
      <c r="N26" s="12"/>
      <c r="O26" s="12"/>
      <c r="P26" s="12"/>
    </row>
    <row r="27" spans="2:16" ht="12.75">
      <c r="B27" s="109" t="s">
        <v>117</v>
      </c>
      <c r="C27" s="261">
        <f>AVERAGE($C$13,$C$15,0)</f>
        <v>169.66988116666667</v>
      </c>
      <c r="D27" s="122"/>
      <c r="E27" s="122"/>
      <c r="F27" s="262"/>
      <c r="G27" s="261">
        <f>AVERAGE(G13,G15,0)</f>
        <v>187.4</v>
      </c>
      <c r="H27" s="261">
        <f>AVERAGE(H13,H15,0)</f>
        <v>17.730118833333325</v>
      </c>
      <c r="I27" s="261">
        <f>AVERAGE(I13,I15,I16)</f>
        <v>109.38120119642856</v>
      </c>
      <c r="J27" s="261">
        <f>AVERAGE(J13,J15,0)</f>
        <v>97.39748630357144</v>
      </c>
      <c r="K27" s="261">
        <f>AVERAGE(K13,K15,K16)</f>
        <v>83.15184366071429</v>
      </c>
      <c r="L27" s="261">
        <f>AVERAGE(L13,L15,L16)</f>
        <v>11.951904761904762</v>
      </c>
      <c r="M27" s="261">
        <f>AVERAGE(M13,M15,M16)</f>
        <v>38.340900000000005</v>
      </c>
      <c r="N27" s="12"/>
      <c r="O27" s="12"/>
      <c r="P27" s="12"/>
    </row>
    <row r="28" spans="2:16" ht="12.75">
      <c r="B28" s="84"/>
      <c r="C28" s="90"/>
      <c r="D28" s="92"/>
      <c r="E28" s="91"/>
      <c r="F28" s="93"/>
      <c r="G28" s="94"/>
      <c r="H28" s="95"/>
      <c r="I28" s="96"/>
      <c r="J28" s="96"/>
      <c r="K28" s="96"/>
      <c r="L28" s="97"/>
      <c r="M28" s="94"/>
      <c r="N28" s="12"/>
      <c r="O28" s="12"/>
      <c r="P28" s="12"/>
    </row>
    <row r="29" spans="2:16" ht="12.75">
      <c r="B29" s="51"/>
      <c r="C29" s="90"/>
      <c r="D29" s="92"/>
      <c r="E29" s="91"/>
      <c r="F29" s="93"/>
      <c r="G29" s="94"/>
      <c r="H29" s="98"/>
      <c r="I29" s="99"/>
      <c r="J29" s="99"/>
      <c r="K29" s="100"/>
      <c r="L29" s="102"/>
      <c r="M29" s="101"/>
      <c r="N29" s="12"/>
      <c r="O29" s="12"/>
      <c r="P29" s="12"/>
    </row>
    <row r="30" spans="2:13" ht="12.75">
      <c r="B30" s="46" t="s">
        <v>308</v>
      </c>
      <c r="C30" s="46"/>
      <c r="D30" s="77"/>
      <c r="E30" s="103"/>
      <c r="F30" s="104"/>
      <c r="G30" s="103"/>
      <c r="H30" s="105"/>
      <c r="I30" s="46"/>
      <c r="J30" s="46"/>
      <c r="K30" s="46"/>
      <c r="L30" s="46"/>
      <c r="M30" s="46"/>
    </row>
    <row r="31" spans="2:13" ht="12.75">
      <c r="B31" s="201" t="s">
        <v>254</v>
      </c>
      <c r="C31" s="46"/>
      <c r="D31" s="77"/>
      <c r="E31" s="103"/>
      <c r="F31" s="104"/>
      <c r="G31" s="103"/>
      <c r="H31" s="105"/>
      <c r="I31" s="46"/>
      <c r="J31" s="46"/>
      <c r="K31" s="46"/>
      <c r="L31" s="46"/>
      <c r="M31" s="46"/>
    </row>
    <row r="32" spans="2:13" ht="12.75">
      <c r="B32" s="46"/>
      <c r="C32" s="46"/>
      <c r="D32" s="77"/>
      <c r="E32" s="103"/>
      <c r="F32" s="104"/>
      <c r="G32" s="103"/>
      <c r="H32" s="105"/>
      <c r="I32" s="46"/>
      <c r="J32" s="46"/>
      <c r="K32" s="46"/>
      <c r="L32" s="46"/>
      <c r="M32" s="46"/>
    </row>
    <row r="33" spans="2:13" ht="12.75">
      <c r="B33" s="46"/>
      <c r="C33" s="46"/>
      <c r="D33" s="77"/>
      <c r="E33" s="103"/>
      <c r="F33" s="104"/>
      <c r="G33" s="103"/>
      <c r="H33" s="105"/>
      <c r="I33" s="46"/>
      <c r="J33" s="46"/>
      <c r="K33" s="46"/>
      <c r="L33" s="46"/>
      <c r="M33" s="46"/>
    </row>
    <row r="34" spans="2:13" ht="12.75">
      <c r="B34" s="46"/>
      <c r="C34" s="46"/>
      <c r="D34" s="77"/>
      <c r="E34" s="103"/>
      <c r="F34" s="104"/>
      <c r="G34" s="103"/>
      <c r="H34" s="105"/>
      <c r="I34" s="46"/>
      <c r="J34" s="46"/>
      <c r="K34" s="46"/>
      <c r="L34" s="46"/>
      <c r="M34" s="46"/>
    </row>
    <row r="35" spans="2:13" ht="12.75">
      <c r="B35" s="46"/>
      <c r="C35" s="46"/>
      <c r="D35" s="77"/>
      <c r="E35" s="103"/>
      <c r="F35" s="104"/>
      <c r="G35" s="103"/>
      <c r="H35" s="105"/>
      <c r="I35" s="46"/>
      <c r="J35" s="46"/>
      <c r="K35" s="46"/>
      <c r="L35" s="46"/>
      <c r="M35" s="46"/>
    </row>
    <row r="36" spans="2:13" ht="12.75">
      <c r="B36" s="46"/>
      <c r="C36" s="46"/>
      <c r="D36" s="77"/>
      <c r="E36" s="103"/>
      <c r="F36" s="104"/>
      <c r="G36" s="103"/>
      <c r="H36" s="105"/>
      <c r="I36" s="46"/>
      <c r="J36" s="46"/>
      <c r="K36" s="46"/>
      <c r="L36" s="46"/>
      <c r="M36" s="46"/>
    </row>
    <row r="37" spans="2:13" ht="12.75">
      <c r="B37" s="46"/>
      <c r="C37" s="46"/>
      <c r="D37" s="77"/>
      <c r="E37" s="103"/>
      <c r="F37" s="104"/>
      <c r="G37" s="103"/>
      <c r="H37" s="105"/>
      <c r="I37" s="46"/>
      <c r="J37" s="46"/>
      <c r="K37" s="46"/>
      <c r="L37" s="46"/>
      <c r="M37" s="46"/>
    </row>
    <row r="38" spans="2:13" ht="12.75">
      <c r="B38" s="46"/>
      <c r="C38" s="46"/>
      <c r="D38" s="77"/>
      <c r="E38" s="103"/>
      <c r="F38" s="104"/>
      <c r="G38" s="103"/>
      <c r="H38" s="105"/>
      <c r="I38" s="46"/>
      <c r="J38" s="46"/>
      <c r="K38" s="46"/>
      <c r="L38" s="46"/>
      <c r="M38" s="46"/>
    </row>
    <row r="39" spans="2:13" ht="12.75">
      <c r="B39" s="46"/>
      <c r="C39" s="46"/>
      <c r="D39" s="77"/>
      <c r="E39" s="103"/>
      <c r="F39" s="104"/>
      <c r="G39" s="103"/>
      <c r="H39" s="105"/>
      <c r="I39" s="46"/>
      <c r="J39" s="46"/>
      <c r="K39" s="46"/>
      <c r="L39" s="46"/>
      <c r="M39" s="46"/>
    </row>
    <row r="40" spans="2:13" ht="12.75">
      <c r="B40" s="46"/>
      <c r="C40" s="46"/>
      <c r="D40" s="77"/>
      <c r="E40" s="103"/>
      <c r="F40" s="104"/>
      <c r="G40" s="103"/>
      <c r="H40" s="105"/>
      <c r="I40" s="46"/>
      <c r="J40" s="46"/>
      <c r="K40" s="46"/>
      <c r="L40" s="46"/>
      <c r="M40" s="46"/>
    </row>
    <row r="41" spans="2:13" ht="12.75">
      <c r="B41" s="46"/>
      <c r="C41" s="46"/>
      <c r="D41" s="77"/>
      <c r="E41" s="103"/>
      <c r="F41" s="104"/>
      <c r="G41" s="103"/>
      <c r="H41" s="105"/>
      <c r="I41" s="46"/>
      <c r="J41" s="46"/>
      <c r="K41" s="46"/>
      <c r="L41" s="46"/>
      <c r="M41" s="46"/>
    </row>
    <row r="42" spans="2:13" ht="12.75">
      <c r="B42" s="46"/>
      <c r="C42" s="46"/>
      <c r="D42" s="77"/>
      <c r="E42" s="103"/>
      <c r="F42" s="104"/>
      <c r="G42" s="103"/>
      <c r="H42" s="105"/>
      <c r="I42" s="46"/>
      <c r="J42" s="46"/>
      <c r="K42" s="46"/>
      <c r="L42" s="46"/>
      <c r="M42" s="46"/>
    </row>
    <row r="43" spans="2:13" ht="12.75">
      <c r="B43" s="46"/>
      <c r="C43" s="46"/>
      <c r="D43" s="77"/>
      <c r="E43" s="103"/>
      <c r="F43" s="104"/>
      <c r="G43" s="103"/>
      <c r="H43" s="105"/>
      <c r="I43" s="46"/>
      <c r="J43" s="46"/>
      <c r="K43" s="46"/>
      <c r="L43" s="46"/>
      <c r="M43" s="46"/>
    </row>
    <row r="44" spans="2:13" ht="12.75">
      <c r="B44" s="46"/>
      <c r="C44" s="46"/>
      <c r="D44" s="77"/>
      <c r="E44" s="103"/>
      <c r="F44" s="104"/>
      <c r="G44" s="103"/>
      <c r="H44" s="105"/>
      <c r="I44" s="46"/>
      <c r="J44" s="46"/>
      <c r="K44" s="46"/>
      <c r="L44" s="46"/>
      <c r="M44" s="46"/>
    </row>
    <row r="45" spans="2:13" ht="12.75">
      <c r="B45" s="46"/>
      <c r="C45" s="46"/>
      <c r="D45" s="77"/>
      <c r="E45" s="103"/>
      <c r="F45" s="104"/>
      <c r="G45" s="103"/>
      <c r="H45" s="105"/>
      <c r="I45" s="46"/>
      <c r="J45" s="46"/>
      <c r="K45" s="46"/>
      <c r="L45" s="46"/>
      <c r="M45" s="46"/>
    </row>
    <row r="46" spans="2:13" ht="12.75">
      <c r="B46" s="46"/>
      <c r="C46" s="46"/>
      <c r="D46" s="77"/>
      <c r="E46" s="103"/>
      <c r="F46" s="104"/>
      <c r="G46" s="103"/>
      <c r="H46" s="105"/>
      <c r="I46" s="46"/>
      <c r="J46" s="46"/>
      <c r="K46" s="46"/>
      <c r="L46" s="46"/>
      <c r="M46" s="46"/>
    </row>
    <row r="47" spans="2:13" ht="12.75">
      <c r="B47" s="46"/>
      <c r="C47" s="46"/>
      <c r="D47" s="77"/>
      <c r="E47" s="103"/>
      <c r="F47" s="104"/>
      <c r="G47" s="103"/>
      <c r="H47" s="105"/>
      <c r="I47" s="46"/>
      <c r="J47" s="46"/>
      <c r="K47" s="46"/>
      <c r="L47" s="46"/>
      <c r="M47" s="46"/>
    </row>
    <row r="48" spans="2:13" ht="12.75">
      <c r="B48" s="46"/>
      <c r="C48" s="46"/>
      <c r="D48" s="77"/>
      <c r="E48" s="103"/>
      <c r="F48" s="104"/>
      <c r="G48" s="103"/>
      <c r="H48" s="105"/>
      <c r="I48" s="46"/>
      <c r="J48" s="46"/>
      <c r="K48" s="46"/>
      <c r="L48" s="46"/>
      <c r="M48" s="46"/>
    </row>
    <row r="49" spans="2:13" ht="12.75">
      <c r="B49" s="46"/>
      <c r="C49" s="46"/>
      <c r="D49" s="77"/>
      <c r="E49" s="103"/>
      <c r="F49" s="104"/>
      <c r="G49" s="103"/>
      <c r="H49" s="105"/>
      <c r="I49" s="46"/>
      <c r="J49" s="46"/>
      <c r="K49" s="46"/>
      <c r="L49" s="46"/>
      <c r="M49" s="46"/>
    </row>
    <row r="50" spans="2:13" ht="12.75">
      <c r="B50" s="46"/>
      <c r="C50" s="46"/>
      <c r="D50" s="77"/>
      <c r="E50" s="103"/>
      <c r="F50" s="104"/>
      <c r="G50" s="103"/>
      <c r="H50" s="105"/>
      <c r="I50" s="46"/>
      <c r="J50" s="46"/>
      <c r="K50" s="46"/>
      <c r="L50" s="46"/>
      <c r="M50" s="46"/>
    </row>
    <row r="51" spans="2:13" ht="12.75">
      <c r="B51" s="46"/>
      <c r="C51" s="46"/>
      <c r="D51" s="77"/>
      <c r="E51" s="103"/>
      <c r="F51" s="104"/>
      <c r="G51" s="103"/>
      <c r="H51" s="105"/>
      <c r="I51" s="46"/>
      <c r="J51" s="46"/>
      <c r="K51" s="46"/>
      <c r="L51" s="46"/>
      <c r="M51" s="46"/>
    </row>
    <row r="52" spans="2:13" ht="12.75">
      <c r="B52" s="46"/>
      <c r="C52" s="46"/>
      <c r="D52" s="77"/>
      <c r="E52" s="103"/>
      <c r="F52" s="104"/>
      <c r="G52" s="103"/>
      <c r="H52" s="105"/>
      <c r="I52" s="46"/>
      <c r="J52" s="46"/>
      <c r="K52" s="46"/>
      <c r="L52" s="46"/>
      <c r="M52" s="46"/>
    </row>
    <row r="53" spans="2:13" ht="12.75">
      <c r="B53" s="46"/>
      <c r="C53" s="46"/>
      <c r="D53" s="77"/>
      <c r="E53" s="103"/>
      <c r="F53" s="104"/>
      <c r="G53" s="103"/>
      <c r="H53" s="105"/>
      <c r="I53" s="46"/>
      <c r="J53" s="46"/>
      <c r="K53" s="46"/>
      <c r="L53" s="46"/>
      <c r="M53" s="46"/>
    </row>
    <row r="54" spans="2:13" ht="12.75">
      <c r="B54" s="46"/>
      <c r="C54" s="46"/>
      <c r="D54" s="77"/>
      <c r="E54" s="103"/>
      <c r="F54" s="104"/>
      <c r="G54" s="103"/>
      <c r="H54" s="105"/>
      <c r="I54" s="46"/>
      <c r="J54" s="46"/>
      <c r="K54" s="46"/>
      <c r="L54" s="46"/>
      <c r="M54" s="46"/>
    </row>
    <row r="55" spans="2:13" ht="12.75">
      <c r="B55" s="46"/>
      <c r="C55" s="46"/>
      <c r="D55" s="77"/>
      <c r="E55" s="103"/>
      <c r="F55" s="104"/>
      <c r="G55" s="103"/>
      <c r="H55" s="105"/>
      <c r="I55" s="46"/>
      <c r="J55" s="46"/>
      <c r="K55" s="46"/>
      <c r="L55" s="46"/>
      <c r="M55" s="46"/>
    </row>
    <row r="56" spans="2:13" ht="12.75">
      <c r="B56" s="46"/>
      <c r="C56" s="46"/>
      <c r="D56" s="77"/>
      <c r="E56" s="103"/>
      <c r="F56" s="104"/>
      <c r="G56" s="103"/>
      <c r="H56" s="105"/>
      <c r="I56" s="46"/>
      <c r="J56" s="46"/>
      <c r="K56" s="46"/>
      <c r="L56" s="46"/>
      <c r="M56" s="46"/>
    </row>
    <row r="57" spans="2:13" ht="12.75">
      <c r="B57" s="46"/>
      <c r="C57" s="46"/>
      <c r="D57" s="77"/>
      <c r="E57" s="103"/>
      <c r="F57" s="104"/>
      <c r="G57" s="103"/>
      <c r="H57" s="105"/>
      <c r="I57" s="46"/>
      <c r="J57" s="46"/>
      <c r="K57" s="46"/>
      <c r="L57" s="46"/>
      <c r="M57" s="46"/>
    </row>
    <row r="58" spans="2:13" ht="12.75">
      <c r="B58" s="46"/>
      <c r="C58" s="46"/>
      <c r="D58" s="77"/>
      <c r="E58" s="103"/>
      <c r="F58" s="104"/>
      <c r="G58" s="103"/>
      <c r="H58" s="105"/>
      <c r="I58" s="46"/>
      <c r="J58" s="46"/>
      <c r="K58" s="46"/>
      <c r="L58" s="46"/>
      <c r="M58" s="46"/>
    </row>
    <row r="59" spans="2:13" ht="12.75">
      <c r="B59" s="46"/>
      <c r="C59" s="46"/>
      <c r="D59" s="77"/>
      <c r="E59" s="103"/>
      <c r="F59" s="104"/>
      <c r="G59" s="103"/>
      <c r="H59" s="105"/>
      <c r="I59" s="46"/>
      <c r="J59" s="46"/>
      <c r="K59" s="46"/>
      <c r="L59" s="46"/>
      <c r="M59" s="46"/>
    </row>
    <row r="60" spans="2:13" ht="12.75">
      <c r="B60" s="46"/>
      <c r="C60" s="46"/>
      <c r="D60" s="77"/>
      <c r="E60" s="103"/>
      <c r="F60" s="104"/>
      <c r="G60" s="103"/>
      <c r="H60" s="105"/>
      <c r="I60" s="46"/>
      <c r="J60" s="46"/>
      <c r="K60" s="46"/>
      <c r="L60" s="46"/>
      <c r="M60" s="46"/>
    </row>
    <row r="61" spans="2:13" ht="12.75">
      <c r="B61" s="46"/>
      <c r="C61" s="46"/>
      <c r="D61" s="77"/>
      <c r="E61" s="103"/>
      <c r="F61" s="104"/>
      <c r="G61" s="103"/>
      <c r="H61" s="105"/>
      <c r="I61" s="46"/>
      <c r="J61" s="46"/>
      <c r="K61" s="46"/>
      <c r="L61" s="46"/>
      <c r="M61" s="46"/>
    </row>
    <row r="62" spans="2:13" ht="12.75">
      <c r="B62" s="46"/>
      <c r="C62" s="46"/>
      <c r="D62" s="77"/>
      <c r="E62" s="103"/>
      <c r="F62" s="104"/>
      <c r="G62" s="103"/>
      <c r="H62" s="105"/>
      <c r="I62" s="46"/>
      <c r="J62" s="46"/>
      <c r="K62" s="46"/>
      <c r="L62" s="46"/>
      <c r="M62" s="46"/>
    </row>
    <row r="63" spans="2:13" ht="12.75">
      <c r="B63" s="46"/>
      <c r="C63" s="46"/>
      <c r="D63" s="77"/>
      <c r="E63" s="103"/>
      <c r="F63" s="104"/>
      <c r="G63" s="103"/>
      <c r="H63" s="105"/>
      <c r="I63" s="46"/>
      <c r="J63" s="46"/>
      <c r="K63" s="46"/>
      <c r="L63" s="46"/>
      <c r="M63" s="46"/>
    </row>
    <row r="64" spans="2:13" ht="12.75">
      <c r="B64" s="46"/>
      <c r="C64" s="46"/>
      <c r="D64" s="77"/>
      <c r="E64" s="103"/>
      <c r="F64" s="104"/>
      <c r="G64" s="103"/>
      <c r="H64" s="105"/>
      <c r="I64" s="46"/>
      <c r="J64" s="46"/>
      <c r="K64" s="46"/>
      <c r="L64" s="46"/>
      <c r="M64" s="46"/>
    </row>
    <row r="65" spans="2:13" ht="12.75">
      <c r="B65" s="46"/>
      <c r="C65" s="46"/>
      <c r="D65" s="77"/>
      <c r="E65" s="103"/>
      <c r="F65" s="104"/>
      <c r="G65" s="103"/>
      <c r="H65" s="105"/>
      <c r="I65" s="46"/>
      <c r="J65" s="46"/>
      <c r="K65" s="46"/>
      <c r="L65" s="46"/>
      <c r="M65" s="46"/>
    </row>
    <row r="66" spans="2:13" ht="12.75">
      <c r="B66" s="46"/>
      <c r="C66" s="46"/>
      <c r="D66" s="77"/>
      <c r="E66" s="103"/>
      <c r="F66" s="104"/>
      <c r="G66" s="103"/>
      <c r="H66" s="105"/>
      <c r="I66" s="46"/>
      <c r="J66" s="46"/>
      <c r="K66" s="46"/>
      <c r="L66" s="46"/>
      <c r="M66" s="46"/>
    </row>
    <row r="67" spans="2:13" ht="12.75">
      <c r="B67" s="46"/>
      <c r="C67" s="46"/>
      <c r="D67" s="77"/>
      <c r="E67" s="103"/>
      <c r="F67" s="104"/>
      <c r="G67" s="103"/>
      <c r="H67" s="105"/>
      <c r="I67" s="46"/>
      <c r="J67" s="46"/>
      <c r="K67" s="46"/>
      <c r="L67" s="46"/>
      <c r="M67" s="46"/>
    </row>
    <row r="68" spans="2:13" ht="12.75">
      <c r="B68" s="46"/>
      <c r="C68" s="46"/>
      <c r="D68" s="77"/>
      <c r="E68" s="103"/>
      <c r="F68" s="104"/>
      <c r="G68" s="103"/>
      <c r="H68" s="105"/>
      <c r="I68" s="46"/>
      <c r="J68" s="46"/>
      <c r="K68" s="46"/>
      <c r="L68" s="46"/>
      <c r="M68" s="46"/>
    </row>
    <row r="69" spans="2:13" ht="12.75">
      <c r="B69" s="46"/>
      <c r="C69" s="46"/>
      <c r="D69" s="77"/>
      <c r="E69" s="103"/>
      <c r="F69" s="104"/>
      <c r="G69" s="103"/>
      <c r="H69" s="105"/>
      <c r="I69" s="46"/>
      <c r="J69" s="46"/>
      <c r="K69" s="46"/>
      <c r="L69" s="46"/>
      <c r="M69" s="46"/>
    </row>
    <row r="70" spans="2:13" ht="12.75">
      <c r="B70" s="46"/>
      <c r="C70" s="46"/>
      <c r="D70" s="77"/>
      <c r="E70" s="103"/>
      <c r="F70" s="104"/>
      <c r="G70" s="103"/>
      <c r="H70" s="105"/>
      <c r="I70" s="46"/>
      <c r="J70" s="46"/>
      <c r="K70" s="46"/>
      <c r="L70" s="46"/>
      <c r="M70" s="46"/>
    </row>
    <row r="71" spans="2:13" ht="12.75">
      <c r="B71" s="46"/>
      <c r="C71" s="46"/>
      <c r="D71" s="77"/>
      <c r="E71" s="103"/>
      <c r="F71" s="104"/>
      <c r="G71" s="103"/>
      <c r="H71" s="105"/>
      <c r="I71" s="46"/>
      <c r="J71" s="46"/>
      <c r="K71" s="46"/>
      <c r="L71" s="46"/>
      <c r="M71" s="46"/>
    </row>
    <row r="72" spans="2:13" ht="12.75">
      <c r="B72" s="46"/>
      <c r="C72" s="46"/>
      <c r="D72" s="77"/>
      <c r="E72" s="103"/>
      <c r="F72" s="104"/>
      <c r="G72" s="103"/>
      <c r="H72" s="105"/>
      <c r="I72" s="46"/>
      <c r="J72" s="46"/>
      <c r="K72" s="46"/>
      <c r="L72" s="46"/>
      <c r="M72" s="46"/>
    </row>
    <row r="73" spans="2:13" ht="12.75">
      <c r="B73" s="46"/>
      <c r="C73" s="46"/>
      <c r="D73" s="77"/>
      <c r="E73" s="103"/>
      <c r="F73" s="104"/>
      <c r="G73" s="103"/>
      <c r="H73" s="105"/>
      <c r="I73" s="46"/>
      <c r="J73" s="46"/>
      <c r="K73" s="46"/>
      <c r="L73" s="46"/>
      <c r="M73" s="46"/>
    </row>
    <row r="74" spans="2:13" ht="12.75">
      <c r="B74" s="46"/>
      <c r="C74" s="46"/>
      <c r="D74" s="77"/>
      <c r="E74" s="103"/>
      <c r="F74" s="104"/>
      <c r="G74" s="103"/>
      <c r="H74" s="105"/>
      <c r="I74" s="46"/>
      <c r="J74" s="46"/>
      <c r="K74" s="46"/>
      <c r="L74" s="46"/>
      <c r="M74" s="46"/>
    </row>
    <row r="75" spans="2:13" ht="12.75">
      <c r="B75" s="46"/>
      <c r="C75" s="46"/>
      <c r="D75" s="77"/>
      <c r="E75" s="103"/>
      <c r="F75" s="104"/>
      <c r="G75" s="103"/>
      <c r="H75" s="105"/>
      <c r="I75" s="46"/>
      <c r="J75" s="46"/>
      <c r="K75" s="46"/>
      <c r="L75" s="46"/>
      <c r="M75" s="46"/>
    </row>
    <row r="76" spans="2:13" ht="12.75">
      <c r="B76" s="46"/>
      <c r="C76" s="46"/>
      <c r="D76" s="77"/>
      <c r="E76" s="103"/>
      <c r="F76" s="104"/>
      <c r="G76" s="103"/>
      <c r="H76" s="105"/>
      <c r="I76" s="46"/>
      <c r="J76" s="46"/>
      <c r="K76" s="46"/>
      <c r="L76" s="46"/>
      <c r="M76" s="46"/>
    </row>
    <row r="77" spans="2:13" ht="12.75">
      <c r="B77" s="46"/>
      <c r="C77" s="46"/>
      <c r="D77" s="77"/>
      <c r="E77" s="103"/>
      <c r="F77" s="104"/>
      <c r="G77" s="103"/>
      <c r="H77" s="105"/>
      <c r="I77" s="46"/>
      <c r="J77" s="46"/>
      <c r="K77" s="46"/>
      <c r="L77" s="46"/>
      <c r="M77" s="46"/>
    </row>
    <row r="78" spans="2:13" ht="12.75">
      <c r="B78" s="46"/>
      <c r="C78" s="46"/>
      <c r="D78" s="77"/>
      <c r="E78" s="103"/>
      <c r="F78" s="104"/>
      <c r="G78" s="103"/>
      <c r="H78" s="105"/>
      <c r="I78" s="46"/>
      <c r="J78" s="46"/>
      <c r="K78" s="46"/>
      <c r="L78" s="46"/>
      <c r="M78" s="46"/>
    </row>
    <row r="79" spans="2:13" ht="12.75">
      <c r="B79" s="46"/>
      <c r="C79" s="46"/>
      <c r="D79" s="77"/>
      <c r="E79" s="103"/>
      <c r="F79" s="104"/>
      <c r="G79" s="103"/>
      <c r="H79" s="105"/>
      <c r="I79" s="46"/>
      <c r="J79" s="46"/>
      <c r="K79" s="46"/>
      <c r="L79" s="46"/>
      <c r="M79" s="46"/>
    </row>
    <row r="80" spans="2:13" ht="12.75">
      <c r="B80" s="46"/>
      <c r="C80" s="46"/>
      <c r="D80" s="77"/>
      <c r="E80" s="103"/>
      <c r="F80" s="104"/>
      <c r="G80" s="103"/>
      <c r="H80" s="105"/>
      <c r="I80" s="46"/>
      <c r="J80" s="46"/>
      <c r="K80" s="46"/>
      <c r="L80" s="46"/>
      <c r="M80" s="46"/>
    </row>
    <row r="81" spans="2:13" ht="12.75">
      <c r="B81" s="46"/>
      <c r="C81" s="46"/>
      <c r="D81" s="77"/>
      <c r="E81" s="103"/>
      <c r="F81" s="104"/>
      <c r="G81" s="103"/>
      <c r="H81" s="105"/>
      <c r="I81" s="46"/>
      <c r="J81" s="46"/>
      <c r="K81" s="46"/>
      <c r="L81" s="46"/>
      <c r="M81" s="46"/>
    </row>
    <row r="82" spans="2:13" ht="12.75">
      <c r="B82" s="46"/>
      <c r="C82" s="46"/>
      <c r="D82" s="77"/>
      <c r="E82" s="103"/>
      <c r="F82" s="104"/>
      <c r="G82" s="103"/>
      <c r="H82" s="105"/>
      <c r="I82" s="46"/>
      <c r="J82" s="46"/>
      <c r="K82" s="46"/>
      <c r="L82" s="46"/>
      <c r="M82" s="46"/>
    </row>
    <row r="83" spans="2:13" ht="12.75">
      <c r="B83" s="46"/>
      <c r="C83" s="46"/>
      <c r="D83" s="77"/>
      <c r="E83" s="103"/>
      <c r="F83" s="104"/>
      <c r="G83" s="103"/>
      <c r="H83" s="105"/>
      <c r="I83" s="46"/>
      <c r="J83" s="46"/>
      <c r="K83" s="46"/>
      <c r="L83" s="46"/>
      <c r="M83" s="46"/>
    </row>
    <row r="84" spans="2:13" ht="12.75">
      <c r="B84" s="46"/>
      <c r="C84" s="46"/>
      <c r="D84" s="77"/>
      <c r="E84" s="103"/>
      <c r="F84" s="104"/>
      <c r="G84" s="103"/>
      <c r="H84" s="105"/>
      <c r="I84" s="46"/>
      <c r="J84" s="46"/>
      <c r="K84" s="46"/>
      <c r="L84" s="46"/>
      <c r="M84" s="46"/>
    </row>
    <row r="85" spans="2:13" ht="12.75">
      <c r="B85" s="46"/>
      <c r="C85" s="46"/>
      <c r="D85" s="77"/>
      <c r="E85" s="103"/>
      <c r="F85" s="104"/>
      <c r="G85" s="103"/>
      <c r="H85" s="105"/>
      <c r="I85" s="46"/>
      <c r="J85" s="46"/>
      <c r="K85" s="46"/>
      <c r="L85" s="46"/>
      <c r="M85" s="46"/>
    </row>
    <row r="86" spans="2:13" ht="12.75">
      <c r="B86" s="46"/>
      <c r="C86" s="46"/>
      <c r="D86" s="77"/>
      <c r="E86" s="103"/>
      <c r="F86" s="104"/>
      <c r="G86" s="103"/>
      <c r="H86" s="105"/>
      <c r="I86" s="46"/>
      <c r="J86" s="46"/>
      <c r="K86" s="46"/>
      <c r="L86" s="46"/>
      <c r="M86" s="46"/>
    </row>
    <row r="87" spans="2:13" ht="12.75">
      <c r="B87" s="46"/>
      <c r="C87" s="46"/>
      <c r="D87" s="77"/>
      <c r="E87" s="103"/>
      <c r="F87" s="104"/>
      <c r="G87" s="103"/>
      <c r="H87" s="105"/>
      <c r="I87" s="46"/>
      <c r="J87" s="46"/>
      <c r="K87" s="46"/>
      <c r="L87" s="46"/>
      <c r="M87" s="46"/>
    </row>
    <row r="88" spans="2:13" ht="12.75">
      <c r="B88" s="46"/>
      <c r="C88" s="46"/>
      <c r="D88" s="77"/>
      <c r="E88" s="103"/>
      <c r="F88" s="104"/>
      <c r="G88" s="103"/>
      <c r="H88" s="105"/>
      <c r="I88" s="46"/>
      <c r="J88" s="46"/>
      <c r="K88" s="46"/>
      <c r="L88" s="46"/>
      <c r="M88" s="46"/>
    </row>
    <row r="89" spans="2:13" ht="12.75">
      <c r="B89" s="46"/>
      <c r="C89" s="46"/>
      <c r="D89" s="77"/>
      <c r="E89" s="103"/>
      <c r="F89" s="104"/>
      <c r="G89" s="103"/>
      <c r="H89" s="105"/>
      <c r="I89" s="46"/>
      <c r="J89" s="46"/>
      <c r="K89" s="46"/>
      <c r="L89" s="46"/>
      <c r="M89" s="46"/>
    </row>
    <row r="90" spans="2:13" ht="12.75">
      <c r="B90" s="46"/>
      <c r="C90" s="46"/>
      <c r="D90" s="77"/>
      <c r="E90" s="103"/>
      <c r="F90" s="104"/>
      <c r="G90" s="103"/>
      <c r="H90" s="105"/>
      <c r="I90" s="46"/>
      <c r="J90" s="46"/>
      <c r="K90" s="46"/>
      <c r="L90" s="46"/>
      <c r="M90" s="46"/>
    </row>
    <row r="91" spans="2:13" ht="12.75">
      <c r="B91" s="46"/>
      <c r="C91" s="46"/>
      <c r="D91" s="77"/>
      <c r="E91" s="103"/>
      <c r="F91" s="104"/>
      <c r="G91" s="103"/>
      <c r="H91" s="105"/>
      <c r="I91" s="46"/>
      <c r="J91" s="46"/>
      <c r="K91" s="46"/>
      <c r="L91" s="46"/>
      <c r="M91" s="46"/>
    </row>
    <row r="92" spans="2:13" ht="12.75">
      <c r="B92" s="46"/>
      <c r="C92" s="46"/>
      <c r="D92" s="77"/>
      <c r="E92" s="103"/>
      <c r="F92" s="104"/>
      <c r="G92" s="103"/>
      <c r="H92" s="105"/>
      <c r="I92" s="46"/>
      <c r="J92" s="46"/>
      <c r="K92" s="46"/>
      <c r="L92" s="46"/>
      <c r="M92" s="46"/>
    </row>
    <row r="93" spans="2:13" ht="12.75">
      <c r="B93" s="46"/>
      <c r="C93" s="46"/>
      <c r="D93" s="77"/>
      <c r="E93" s="103"/>
      <c r="F93" s="104"/>
      <c r="G93" s="103"/>
      <c r="H93" s="105"/>
      <c r="I93" s="46"/>
      <c r="J93" s="46"/>
      <c r="K93" s="46"/>
      <c r="L93" s="46"/>
      <c r="M93" s="46"/>
    </row>
    <row r="94" spans="2:13" ht="12.75">
      <c r="B94" s="46"/>
      <c r="C94" s="46"/>
      <c r="D94" s="77"/>
      <c r="E94" s="103"/>
      <c r="F94" s="104"/>
      <c r="G94" s="103"/>
      <c r="H94" s="105"/>
      <c r="I94" s="46"/>
      <c r="J94" s="46"/>
      <c r="K94" s="46"/>
      <c r="L94" s="46"/>
      <c r="M94" s="46"/>
    </row>
    <row r="95" spans="2:13" ht="12.75">
      <c r="B95" s="46"/>
      <c r="C95" s="46"/>
      <c r="D95" s="77"/>
      <c r="E95" s="103"/>
      <c r="F95" s="104"/>
      <c r="G95" s="103"/>
      <c r="H95" s="105"/>
      <c r="I95" s="46"/>
      <c r="J95" s="46"/>
      <c r="K95" s="46"/>
      <c r="L95" s="46"/>
      <c r="M95" s="46"/>
    </row>
    <row r="96" spans="2:13" ht="12.75">
      <c r="B96" s="46"/>
      <c r="C96" s="46"/>
      <c r="D96" s="77"/>
      <c r="E96" s="103"/>
      <c r="F96" s="104"/>
      <c r="G96" s="103"/>
      <c r="H96" s="105"/>
      <c r="I96" s="46"/>
      <c r="J96" s="46"/>
      <c r="K96" s="46"/>
      <c r="L96" s="46"/>
      <c r="M96" s="46"/>
    </row>
    <row r="97" spans="2:13" ht="12.75">
      <c r="B97" s="46"/>
      <c r="C97" s="46"/>
      <c r="D97" s="77"/>
      <c r="E97" s="103"/>
      <c r="F97" s="104"/>
      <c r="G97" s="103"/>
      <c r="H97" s="105"/>
      <c r="I97" s="46"/>
      <c r="J97" s="46"/>
      <c r="K97" s="46"/>
      <c r="L97" s="46"/>
      <c r="M97" s="46"/>
    </row>
    <row r="98" spans="2:13" ht="12.75">
      <c r="B98" s="46"/>
      <c r="C98" s="46"/>
      <c r="D98" s="77"/>
      <c r="E98" s="103"/>
      <c r="F98" s="104"/>
      <c r="G98" s="103"/>
      <c r="H98" s="105"/>
      <c r="I98" s="46"/>
      <c r="J98" s="46"/>
      <c r="K98" s="46"/>
      <c r="L98" s="46"/>
      <c r="M98" s="46"/>
    </row>
    <row r="99" spans="2:13" ht="12.75">
      <c r="B99" s="46"/>
      <c r="C99" s="46"/>
      <c r="D99" s="77"/>
      <c r="E99" s="103"/>
      <c r="F99" s="104"/>
      <c r="G99" s="103"/>
      <c r="H99" s="105"/>
      <c r="I99" s="46"/>
      <c r="J99" s="46"/>
      <c r="K99" s="46"/>
      <c r="L99" s="46"/>
      <c r="M99" s="46"/>
    </row>
    <row r="100" spans="2:13" ht="12.75">
      <c r="B100" s="46"/>
      <c r="C100" s="46"/>
      <c r="D100" s="77"/>
      <c r="E100" s="103"/>
      <c r="F100" s="104"/>
      <c r="G100" s="103"/>
      <c r="H100" s="105"/>
      <c r="I100" s="46"/>
      <c r="J100" s="46"/>
      <c r="K100" s="46"/>
      <c r="L100" s="46"/>
      <c r="M100" s="46"/>
    </row>
    <row r="101" spans="2:13" ht="12.75">
      <c r="B101" s="46"/>
      <c r="C101" s="46"/>
      <c r="D101" s="77"/>
      <c r="E101" s="103"/>
      <c r="F101" s="104"/>
      <c r="G101" s="103"/>
      <c r="H101" s="105"/>
      <c r="I101" s="46"/>
      <c r="J101" s="46"/>
      <c r="K101" s="46"/>
      <c r="L101" s="46"/>
      <c r="M101" s="46"/>
    </row>
    <row r="102" spans="2:13" ht="12.75">
      <c r="B102" s="46"/>
      <c r="C102" s="46"/>
      <c r="D102" s="77"/>
      <c r="E102" s="103"/>
      <c r="F102" s="104"/>
      <c r="G102" s="103"/>
      <c r="H102" s="105"/>
      <c r="I102" s="46"/>
      <c r="J102" s="46"/>
      <c r="K102" s="46"/>
      <c r="L102" s="46"/>
      <c r="M102" s="46"/>
    </row>
    <row r="103" spans="2:13" ht="12.75">
      <c r="B103" s="46"/>
      <c r="C103" s="46"/>
      <c r="D103" s="77"/>
      <c r="E103" s="103"/>
      <c r="F103" s="104"/>
      <c r="G103" s="103"/>
      <c r="H103" s="105"/>
      <c r="I103" s="46"/>
      <c r="J103" s="46"/>
      <c r="K103" s="46"/>
      <c r="L103" s="46"/>
      <c r="M103" s="46"/>
    </row>
    <row r="104" spans="2:13" ht="12.75">
      <c r="B104" s="46"/>
      <c r="C104" s="46"/>
      <c r="D104" s="77"/>
      <c r="E104" s="103"/>
      <c r="F104" s="104"/>
      <c r="G104" s="103"/>
      <c r="H104" s="105"/>
      <c r="I104" s="46"/>
      <c r="J104" s="46"/>
      <c r="K104" s="46"/>
      <c r="L104" s="46"/>
      <c r="M104" s="46"/>
    </row>
    <row r="105" spans="2:13" ht="12.75">
      <c r="B105" s="46"/>
      <c r="C105" s="46"/>
      <c r="D105" s="77"/>
      <c r="E105" s="103"/>
      <c r="F105" s="104"/>
      <c r="G105" s="103"/>
      <c r="H105" s="105"/>
      <c r="I105" s="46"/>
      <c r="J105" s="46"/>
      <c r="K105" s="46"/>
      <c r="L105" s="46"/>
      <c r="M105" s="46"/>
    </row>
    <row r="106" spans="2:13" ht="12.75">
      <c r="B106" s="46"/>
      <c r="C106" s="46"/>
      <c r="D106" s="77"/>
      <c r="E106" s="103"/>
      <c r="F106" s="104"/>
      <c r="G106" s="103"/>
      <c r="H106" s="105"/>
      <c r="I106" s="46"/>
      <c r="J106" s="46"/>
      <c r="K106" s="46"/>
      <c r="L106" s="46"/>
      <c r="M106" s="46"/>
    </row>
    <row r="107" spans="2:13" ht="12.75">
      <c r="B107" s="46"/>
      <c r="C107" s="46"/>
      <c r="D107" s="77"/>
      <c r="E107" s="103"/>
      <c r="F107" s="104"/>
      <c r="G107" s="103"/>
      <c r="H107" s="105"/>
      <c r="I107" s="46"/>
      <c r="J107" s="46"/>
      <c r="K107" s="46"/>
      <c r="L107" s="46"/>
      <c r="M107" s="46"/>
    </row>
    <row r="108" spans="2:13" ht="12.75">
      <c r="B108" s="46"/>
      <c r="C108" s="46"/>
      <c r="D108" s="77"/>
      <c r="E108" s="103"/>
      <c r="F108" s="104"/>
      <c r="G108" s="103"/>
      <c r="H108" s="105"/>
      <c r="I108" s="46"/>
      <c r="J108" s="46"/>
      <c r="K108" s="46"/>
      <c r="L108" s="46"/>
      <c r="M108" s="46"/>
    </row>
    <row r="109" spans="2:13" ht="12.75">
      <c r="B109" s="46"/>
      <c r="C109" s="46"/>
      <c r="D109" s="77"/>
      <c r="E109" s="103"/>
      <c r="F109" s="104"/>
      <c r="G109" s="103"/>
      <c r="H109" s="105"/>
      <c r="I109" s="46"/>
      <c r="J109" s="46"/>
      <c r="K109" s="46"/>
      <c r="L109" s="46"/>
      <c r="M109" s="46"/>
    </row>
    <row r="110" spans="2:13" ht="12.75">
      <c r="B110" s="46"/>
      <c r="C110" s="46"/>
      <c r="D110" s="77"/>
      <c r="E110" s="103"/>
      <c r="F110" s="104"/>
      <c r="G110" s="103"/>
      <c r="H110" s="105"/>
      <c r="I110" s="46"/>
      <c r="J110" s="46"/>
      <c r="K110" s="46"/>
      <c r="L110" s="46"/>
      <c r="M110" s="46"/>
    </row>
    <row r="111" spans="2:13" ht="12.75">
      <c r="B111" s="46"/>
      <c r="C111" s="46"/>
      <c r="D111" s="77"/>
      <c r="E111" s="103"/>
      <c r="F111" s="104"/>
      <c r="G111" s="103"/>
      <c r="H111" s="105"/>
      <c r="I111" s="46"/>
      <c r="J111" s="46"/>
      <c r="K111" s="46"/>
      <c r="L111" s="46"/>
      <c r="M111" s="46"/>
    </row>
    <row r="112" spans="2:13" ht="12.75">
      <c r="B112" s="46"/>
      <c r="C112" s="46"/>
      <c r="D112" s="77"/>
      <c r="E112" s="103"/>
      <c r="F112" s="104"/>
      <c r="G112" s="103"/>
      <c r="H112" s="105"/>
      <c r="I112" s="46"/>
      <c r="J112" s="46"/>
      <c r="K112" s="46"/>
      <c r="L112" s="46"/>
      <c r="M112" s="46"/>
    </row>
    <row r="113" spans="2:13" ht="12.75">
      <c r="B113" s="46"/>
      <c r="C113" s="46"/>
      <c r="D113" s="77"/>
      <c r="E113" s="103"/>
      <c r="F113" s="104"/>
      <c r="G113" s="103"/>
      <c r="H113" s="105"/>
      <c r="I113" s="46"/>
      <c r="J113" s="46"/>
      <c r="K113" s="46"/>
      <c r="L113" s="46"/>
      <c r="M113" s="46"/>
    </row>
    <row r="114" spans="2:13" ht="12.75">
      <c r="B114" s="46"/>
      <c r="C114" s="46"/>
      <c r="D114" s="77"/>
      <c r="E114" s="103"/>
      <c r="F114" s="104"/>
      <c r="G114" s="103"/>
      <c r="H114" s="105"/>
      <c r="I114" s="46"/>
      <c r="J114" s="46"/>
      <c r="K114" s="46"/>
      <c r="L114" s="46"/>
      <c r="M114" s="46"/>
    </row>
    <row r="115" spans="2:13" ht="12.75">
      <c r="B115" s="46"/>
      <c r="C115" s="46"/>
      <c r="D115" s="77"/>
      <c r="E115" s="103"/>
      <c r="F115" s="104"/>
      <c r="G115" s="103"/>
      <c r="H115" s="105"/>
      <c r="I115" s="46"/>
      <c r="J115" s="46"/>
      <c r="K115" s="46"/>
      <c r="L115" s="46"/>
      <c r="M115" s="46"/>
    </row>
    <row r="116" spans="2:13" ht="12.75">
      <c r="B116" s="46"/>
      <c r="C116" s="46"/>
      <c r="D116" s="77"/>
      <c r="E116" s="103"/>
      <c r="F116" s="104"/>
      <c r="G116" s="103"/>
      <c r="H116" s="105"/>
      <c r="I116" s="46"/>
      <c r="J116" s="46"/>
      <c r="K116" s="46"/>
      <c r="L116" s="46"/>
      <c r="M116" s="46"/>
    </row>
    <row r="117" spans="2:13" ht="12.75">
      <c r="B117" s="46"/>
      <c r="C117" s="46"/>
      <c r="D117" s="77"/>
      <c r="E117" s="103"/>
      <c r="F117" s="104"/>
      <c r="G117" s="103"/>
      <c r="H117" s="105"/>
      <c r="I117" s="46"/>
      <c r="J117" s="46"/>
      <c r="K117" s="46"/>
      <c r="L117" s="46"/>
      <c r="M117" s="46"/>
    </row>
    <row r="118" spans="2:13" ht="12.75">
      <c r="B118" s="46"/>
      <c r="C118" s="46"/>
      <c r="D118" s="77"/>
      <c r="E118" s="103"/>
      <c r="F118" s="104"/>
      <c r="G118" s="103"/>
      <c r="H118" s="105"/>
      <c r="I118" s="46"/>
      <c r="J118" s="46"/>
      <c r="K118" s="46"/>
      <c r="L118" s="46"/>
      <c r="M118" s="46"/>
    </row>
    <row r="119" spans="2:13" ht="12.75">
      <c r="B119" s="46"/>
      <c r="C119" s="46"/>
      <c r="D119" s="77"/>
      <c r="E119" s="103"/>
      <c r="F119" s="104"/>
      <c r="G119" s="103"/>
      <c r="H119" s="105"/>
      <c r="I119" s="46"/>
      <c r="J119" s="46"/>
      <c r="K119" s="46"/>
      <c r="L119" s="46"/>
      <c r="M119" s="46"/>
    </row>
    <row r="120" spans="2:13" ht="12.75">
      <c r="B120" s="46"/>
      <c r="C120" s="46"/>
      <c r="D120" s="77"/>
      <c r="E120" s="103"/>
      <c r="F120" s="104"/>
      <c r="G120" s="103"/>
      <c r="H120" s="105"/>
      <c r="I120" s="46"/>
      <c r="J120" s="46"/>
      <c r="K120" s="46"/>
      <c r="L120" s="46"/>
      <c r="M120" s="46"/>
    </row>
    <row r="121" spans="2:13" ht="12.75">
      <c r="B121" s="46"/>
      <c r="C121" s="46"/>
      <c r="D121" s="77"/>
      <c r="E121" s="103"/>
      <c r="F121" s="104"/>
      <c r="G121" s="103"/>
      <c r="H121" s="105"/>
      <c r="I121" s="46"/>
      <c r="J121" s="46"/>
      <c r="K121" s="46"/>
      <c r="L121" s="46"/>
      <c r="M121" s="46"/>
    </row>
    <row r="122" spans="2:13" ht="12.75">
      <c r="B122" s="46"/>
      <c r="C122" s="46"/>
      <c r="D122" s="77"/>
      <c r="E122" s="103"/>
      <c r="F122" s="104"/>
      <c r="G122" s="103"/>
      <c r="H122" s="105"/>
      <c r="I122" s="46"/>
      <c r="J122" s="46"/>
      <c r="K122" s="46"/>
      <c r="L122" s="46"/>
      <c r="M122" s="46"/>
    </row>
    <row r="123" spans="2:13" ht="12.75">
      <c r="B123" s="46"/>
      <c r="C123" s="46"/>
      <c r="D123" s="77"/>
      <c r="E123" s="103"/>
      <c r="F123" s="104"/>
      <c r="G123" s="103"/>
      <c r="H123" s="105"/>
      <c r="I123" s="46"/>
      <c r="J123" s="46"/>
      <c r="K123" s="46"/>
      <c r="L123" s="46"/>
      <c r="M123" s="46"/>
    </row>
    <row r="124" spans="2:13" ht="12.75">
      <c r="B124" s="46"/>
      <c r="C124" s="46"/>
      <c r="D124" s="77"/>
      <c r="E124" s="103"/>
      <c r="F124" s="104"/>
      <c r="G124" s="103"/>
      <c r="H124" s="105"/>
      <c r="I124" s="46"/>
      <c r="J124" s="46"/>
      <c r="K124" s="46"/>
      <c r="L124" s="46"/>
      <c r="M124" s="46"/>
    </row>
    <row r="125" spans="2:13" ht="12.75">
      <c r="B125" s="46"/>
      <c r="C125" s="46"/>
      <c r="D125" s="77"/>
      <c r="E125" s="103"/>
      <c r="F125" s="104"/>
      <c r="G125" s="103"/>
      <c r="H125" s="105"/>
      <c r="I125" s="46"/>
      <c r="J125" s="46"/>
      <c r="K125" s="46"/>
      <c r="L125" s="46"/>
      <c r="M125" s="46"/>
    </row>
    <row r="126" spans="2:13" ht="12.75">
      <c r="B126" s="46"/>
      <c r="C126" s="46"/>
      <c r="D126" s="77"/>
      <c r="E126" s="103"/>
      <c r="F126" s="104"/>
      <c r="G126" s="103"/>
      <c r="H126" s="105"/>
      <c r="I126" s="46"/>
      <c r="J126" s="46"/>
      <c r="K126" s="46"/>
      <c r="L126" s="46"/>
      <c r="M126" s="46"/>
    </row>
    <row r="127" spans="2:13" ht="12.75">
      <c r="B127" s="46"/>
      <c r="C127" s="46"/>
      <c r="D127" s="77"/>
      <c r="E127" s="103"/>
      <c r="F127" s="104"/>
      <c r="G127" s="103"/>
      <c r="H127" s="105"/>
      <c r="I127" s="46"/>
      <c r="J127" s="46"/>
      <c r="K127" s="46"/>
      <c r="L127" s="46"/>
      <c r="M127" s="46"/>
    </row>
    <row r="128" spans="2:13" ht="12.75">
      <c r="B128" s="46"/>
      <c r="C128" s="46"/>
      <c r="D128" s="77"/>
      <c r="E128" s="103"/>
      <c r="F128" s="104"/>
      <c r="G128" s="103"/>
      <c r="H128" s="105"/>
      <c r="I128" s="46"/>
      <c r="J128" s="46"/>
      <c r="K128" s="46"/>
      <c r="L128" s="46"/>
      <c r="M128" s="46"/>
    </row>
    <row r="129" spans="4:8" s="46" customFormat="1" ht="12.75">
      <c r="D129" s="77"/>
      <c r="E129" s="103"/>
      <c r="F129" s="104"/>
      <c r="G129" s="103"/>
      <c r="H129" s="105"/>
    </row>
    <row r="130" spans="4:8" s="46" customFormat="1" ht="12.75">
      <c r="D130" s="77"/>
      <c r="E130" s="103"/>
      <c r="F130" s="104"/>
      <c r="G130" s="103"/>
      <c r="H130" s="105"/>
    </row>
    <row r="131" spans="4:8" s="46" customFormat="1" ht="12.75">
      <c r="D131" s="77"/>
      <c r="E131" s="103"/>
      <c r="F131" s="104"/>
      <c r="G131" s="103"/>
      <c r="H131" s="105"/>
    </row>
    <row r="132" spans="4:8" s="46" customFormat="1" ht="12.75">
      <c r="D132" s="77"/>
      <c r="E132" s="103"/>
      <c r="F132" s="104"/>
      <c r="G132" s="103"/>
      <c r="H132" s="105"/>
    </row>
    <row r="133" spans="4:8" s="46" customFormat="1" ht="12.75">
      <c r="D133" s="77"/>
      <c r="E133" s="103"/>
      <c r="F133" s="104"/>
      <c r="G133" s="103"/>
      <c r="H133" s="105"/>
    </row>
    <row r="134" spans="4:8" s="46" customFormat="1" ht="12.75">
      <c r="D134" s="77"/>
      <c r="E134" s="103"/>
      <c r="F134" s="104"/>
      <c r="G134" s="103"/>
      <c r="H134" s="105"/>
    </row>
    <row r="135" spans="4:8" s="46" customFormat="1" ht="12.75">
      <c r="D135" s="77"/>
      <c r="E135" s="103"/>
      <c r="F135" s="104"/>
      <c r="G135" s="103"/>
      <c r="H135" s="105"/>
    </row>
    <row r="136" spans="4:8" s="46" customFormat="1" ht="12.75">
      <c r="D136" s="77"/>
      <c r="E136" s="103"/>
      <c r="F136" s="104"/>
      <c r="G136" s="103"/>
      <c r="H136" s="105"/>
    </row>
    <row r="137" spans="4:8" s="46" customFormat="1" ht="12.75">
      <c r="D137" s="77"/>
      <c r="E137" s="103"/>
      <c r="F137" s="104"/>
      <c r="G137" s="103"/>
      <c r="H137" s="105"/>
    </row>
    <row r="138" spans="4:8" s="46" customFormat="1" ht="12.75">
      <c r="D138" s="77"/>
      <c r="E138" s="103"/>
      <c r="F138" s="104"/>
      <c r="G138" s="103"/>
      <c r="H138" s="105"/>
    </row>
    <row r="139" spans="4:8" s="46" customFormat="1" ht="12.75">
      <c r="D139" s="77"/>
      <c r="E139" s="103"/>
      <c r="F139" s="104"/>
      <c r="G139" s="103"/>
      <c r="H139" s="105"/>
    </row>
    <row r="140" spans="4:8" s="46" customFormat="1" ht="12.75">
      <c r="D140" s="77"/>
      <c r="E140" s="103"/>
      <c r="F140" s="104"/>
      <c r="G140" s="103"/>
      <c r="H140" s="105"/>
    </row>
    <row r="141" spans="4:8" s="46" customFormat="1" ht="12.75">
      <c r="D141" s="77"/>
      <c r="E141" s="103"/>
      <c r="F141" s="104"/>
      <c r="G141" s="103"/>
      <c r="H141" s="105"/>
    </row>
    <row r="142" spans="4:8" s="46" customFormat="1" ht="12.75">
      <c r="D142" s="77"/>
      <c r="E142" s="103"/>
      <c r="F142" s="104"/>
      <c r="G142" s="103"/>
      <c r="H142" s="105"/>
    </row>
    <row r="143" spans="4:8" s="46" customFormat="1" ht="12.75">
      <c r="D143" s="77"/>
      <c r="E143" s="103"/>
      <c r="F143" s="104"/>
      <c r="G143" s="103"/>
      <c r="H143" s="105"/>
    </row>
    <row r="144" spans="4:8" s="46" customFormat="1" ht="12.75">
      <c r="D144" s="77"/>
      <c r="E144" s="103"/>
      <c r="F144" s="104"/>
      <c r="G144" s="103"/>
      <c r="H144" s="105"/>
    </row>
    <row r="145" spans="4:8" s="46" customFormat="1" ht="12.75">
      <c r="D145" s="77"/>
      <c r="E145" s="103"/>
      <c r="F145" s="104"/>
      <c r="G145" s="103"/>
      <c r="H145" s="105"/>
    </row>
    <row r="146" spans="4:8" s="46" customFormat="1" ht="12.75">
      <c r="D146" s="77"/>
      <c r="E146" s="103"/>
      <c r="F146" s="104"/>
      <c r="G146" s="103"/>
      <c r="H146" s="105"/>
    </row>
    <row r="147" spans="4:8" s="46" customFormat="1" ht="12.75">
      <c r="D147" s="77"/>
      <c r="E147" s="103"/>
      <c r="F147" s="104"/>
      <c r="G147" s="103"/>
      <c r="H147" s="105"/>
    </row>
    <row r="148" spans="4:8" s="46" customFormat="1" ht="12.75">
      <c r="D148" s="77"/>
      <c r="E148" s="103"/>
      <c r="F148" s="104"/>
      <c r="G148" s="103"/>
      <c r="H148" s="105"/>
    </row>
    <row r="149" spans="4:8" s="46" customFormat="1" ht="12.75">
      <c r="D149" s="77"/>
      <c r="E149" s="103"/>
      <c r="F149" s="104"/>
      <c r="G149" s="103"/>
      <c r="H149" s="105"/>
    </row>
    <row r="150" spans="4:8" s="46" customFormat="1" ht="12.75">
      <c r="D150" s="77"/>
      <c r="E150" s="103"/>
      <c r="F150" s="104"/>
      <c r="G150" s="103"/>
      <c r="H150" s="105"/>
    </row>
    <row r="151" spans="4:8" s="46" customFormat="1" ht="12.75">
      <c r="D151" s="77"/>
      <c r="E151" s="103"/>
      <c r="F151" s="104"/>
      <c r="G151" s="103"/>
      <c r="H151" s="105"/>
    </row>
    <row r="152" spans="4:8" s="46" customFormat="1" ht="12.75">
      <c r="D152" s="77"/>
      <c r="E152" s="103"/>
      <c r="F152" s="104"/>
      <c r="G152" s="103"/>
      <c r="H152" s="105"/>
    </row>
    <row r="153" spans="4:8" s="46" customFormat="1" ht="12.75">
      <c r="D153" s="77"/>
      <c r="E153" s="103"/>
      <c r="F153" s="104"/>
      <c r="G153" s="103"/>
      <c r="H153" s="105"/>
    </row>
  </sheetData>
  <sheetProtection/>
  <hyperlinks>
    <hyperlink ref="B31" r:id="rId1" display="http://csanr.wsu.edu/Publications/FarmMgmtEconomics.htm"/>
    <hyperlink ref="B15" location="SpringBarley" display="Spring Barley (SB)"/>
    <hyperlink ref="B14" location="HardRedSpringWheat" display="Hard Red Spring Wheat (HRSW)"/>
    <hyperlink ref="B13" location="WinterWheat" display="Winter Wheat (WW)"/>
    <hyperlink ref="B16" location="ChemFallow" display="Chem Fallow (CF)***"/>
  </hyperlinks>
  <printOptions horizontalCentered="1"/>
  <pageMargins left="0.75" right="0.75" top="1" bottom="1" header="0.5" footer="0.5"/>
  <pageSetup horizontalDpi="600" verticalDpi="600" orientation="landscape" scale="72" r:id="rId3"/>
  <headerFooter alignWithMargins="0">
    <oddFooter>&amp;L&amp;A&amp;C&amp;F&amp;R&amp;D</oddFooter>
  </headerFooter>
  <drawing r:id="rId2"/>
</worksheet>
</file>

<file path=xl/worksheets/sheet4.xml><?xml version="1.0" encoding="utf-8"?>
<worksheet xmlns="http://schemas.openxmlformats.org/spreadsheetml/2006/main" xmlns:r="http://schemas.openxmlformats.org/officeDocument/2006/relationships">
  <dimension ref="B1:K72"/>
  <sheetViews>
    <sheetView zoomScalePageLayoutView="0" workbookViewId="0" topLeftCell="A1">
      <selection activeCell="A1" sqref="A1"/>
    </sheetView>
  </sheetViews>
  <sheetFormatPr defaultColWidth="8.7109375" defaultRowHeight="12.75"/>
  <cols>
    <col min="1" max="1" width="3.421875" style="46" customWidth="1"/>
    <col min="2" max="2" width="18.00390625" style="109" customWidth="1"/>
    <col min="3" max="4" width="8.7109375" style="111" customWidth="1"/>
    <col min="5" max="5" width="8.7109375" style="109" customWidth="1"/>
    <col min="6" max="6" width="10.421875" style="109" customWidth="1"/>
    <col min="7" max="8" width="8.7109375" style="109" customWidth="1"/>
    <col min="9" max="16384" width="8.7109375" style="46" customWidth="1"/>
  </cols>
  <sheetData>
    <row r="1" spans="2:8" ht="12.75">
      <c r="B1" s="46"/>
      <c r="C1" s="177"/>
      <c r="D1" s="177"/>
      <c r="E1" s="46"/>
      <c r="F1" s="46"/>
      <c r="G1" s="46"/>
      <c r="H1" s="46"/>
    </row>
    <row r="2" spans="2:8" ht="19.5" customHeight="1">
      <c r="B2" s="273" t="s">
        <v>6</v>
      </c>
      <c r="C2" s="309"/>
      <c r="D2" s="309"/>
      <c r="E2" s="310"/>
      <c r="F2" s="310"/>
      <c r="G2" s="310"/>
      <c r="H2" s="310"/>
    </row>
    <row r="3" ht="12.75">
      <c r="B3" s="112"/>
    </row>
    <row r="4" spans="2:3" ht="12.75">
      <c r="B4" s="112"/>
      <c r="C4" s="113" t="s">
        <v>145</v>
      </c>
    </row>
    <row r="5" spans="2:3" ht="12.75">
      <c r="B5" s="112"/>
      <c r="C5" s="113" t="s">
        <v>103</v>
      </c>
    </row>
    <row r="6" spans="2:3" ht="12.75">
      <c r="B6" s="114" t="s">
        <v>107</v>
      </c>
      <c r="C6" s="113" t="s">
        <v>110</v>
      </c>
    </row>
    <row r="7" spans="2:8" ht="15.75">
      <c r="B7" s="115" t="s">
        <v>82</v>
      </c>
      <c r="C7" s="116">
        <f>Summary!H13</f>
        <v>76.06775837500004</v>
      </c>
      <c r="H7" s="117"/>
    </row>
    <row r="8" spans="2:8" ht="12.75">
      <c r="B8" s="118" t="s">
        <v>7</v>
      </c>
      <c r="C8" s="116">
        <f>Summary!H14</f>
        <v>28.532323124999834</v>
      </c>
      <c r="H8" s="119"/>
    </row>
    <row r="9" spans="2:8" ht="12.75">
      <c r="B9" s="118" t="s">
        <v>8</v>
      </c>
      <c r="C9" s="116">
        <f>Summary!H15</f>
        <v>-22.87740187500006</v>
      </c>
      <c r="H9" s="120"/>
    </row>
    <row r="10" spans="2:11" ht="12.75">
      <c r="B10" s="118" t="s">
        <v>84</v>
      </c>
      <c r="C10" s="116"/>
      <c r="H10" s="120"/>
      <c r="J10" s="77"/>
      <c r="K10" s="184"/>
    </row>
    <row r="11" spans="2:11" ht="12.75">
      <c r="B11" s="118"/>
      <c r="C11" s="116"/>
      <c r="H11" s="205"/>
      <c r="J11" s="77"/>
      <c r="K11" s="184"/>
    </row>
    <row r="12" spans="2:11" ht="12.75">
      <c r="B12" s="118"/>
      <c r="C12" s="116"/>
      <c r="J12" s="77"/>
      <c r="K12" s="184"/>
    </row>
    <row r="13" spans="2:11" ht="12.75">
      <c r="B13" s="118"/>
      <c r="C13" s="116"/>
      <c r="J13" s="77"/>
      <c r="K13" s="184"/>
    </row>
    <row r="14" spans="2:11" ht="12.75">
      <c r="B14" s="118"/>
      <c r="C14" s="116"/>
      <c r="J14" s="77"/>
      <c r="K14" s="184"/>
    </row>
    <row r="15" spans="2:11" ht="12.75">
      <c r="B15" s="118"/>
      <c r="C15" s="116"/>
      <c r="H15" s="121"/>
      <c r="J15" s="77"/>
      <c r="K15" s="184"/>
    </row>
    <row r="16" spans="2:11" ht="12.75">
      <c r="B16" s="122"/>
      <c r="C16" s="116"/>
      <c r="H16" s="121"/>
      <c r="J16" s="77"/>
      <c r="K16" s="184"/>
    </row>
    <row r="17" spans="2:8" ht="12.75">
      <c r="B17" s="122"/>
      <c r="C17" s="116"/>
      <c r="H17" s="123"/>
    </row>
    <row r="18" spans="2:8" ht="12.75">
      <c r="B18" s="122"/>
      <c r="C18" s="116"/>
      <c r="H18" s="121"/>
    </row>
    <row r="19" spans="2:8" ht="12.75">
      <c r="B19" s="122"/>
      <c r="C19" s="116"/>
      <c r="H19" s="121"/>
    </row>
    <row r="20" spans="2:8" ht="12.75">
      <c r="B20" s="122"/>
      <c r="C20" s="116"/>
      <c r="H20" s="121"/>
    </row>
    <row r="21" spans="2:3" ht="12.75">
      <c r="B21" s="122"/>
      <c r="C21" s="116"/>
    </row>
    <row r="22" spans="2:3" ht="12.75">
      <c r="B22" s="122"/>
      <c r="C22" s="116"/>
    </row>
    <row r="23" spans="2:3" ht="12.75">
      <c r="B23" s="122"/>
      <c r="C23" s="116"/>
    </row>
    <row r="24" spans="2:3" ht="12.75">
      <c r="B24" s="122"/>
      <c r="C24" s="116"/>
    </row>
    <row r="25" spans="2:3" ht="12.75">
      <c r="B25" s="122"/>
      <c r="C25" s="116"/>
    </row>
    <row r="26" spans="3:4" ht="12.75">
      <c r="C26" s="122"/>
      <c r="D26" s="124" t="s">
        <v>145</v>
      </c>
    </row>
    <row r="27" spans="3:4" ht="12.75">
      <c r="C27" s="122"/>
      <c r="D27" s="124" t="s">
        <v>103</v>
      </c>
    </row>
    <row r="28" spans="3:4" ht="12.75">
      <c r="C28" s="114" t="s">
        <v>116</v>
      </c>
      <c r="D28" s="124" t="s">
        <v>110</v>
      </c>
    </row>
    <row r="29" spans="3:4" ht="12.75">
      <c r="C29" s="109" t="s">
        <v>85</v>
      </c>
      <c r="D29" s="116">
        <v>45.654793624999996</v>
      </c>
    </row>
    <row r="30" spans="3:4" ht="12.75">
      <c r="C30" s="109" t="s">
        <v>86</v>
      </c>
      <c r="D30" s="116">
        <v>41.06822568749999</v>
      </c>
    </row>
    <row r="31" ht="12.75">
      <c r="C31" s="116"/>
    </row>
    <row r="32" ht="12.75">
      <c r="C32" s="116"/>
    </row>
    <row r="33" ht="12.75">
      <c r="C33" s="116"/>
    </row>
    <row r="34" ht="12.75">
      <c r="C34" s="116"/>
    </row>
    <row r="35" ht="12.75">
      <c r="C35" s="116"/>
    </row>
    <row r="36" ht="12.75">
      <c r="C36" s="116"/>
    </row>
    <row r="37" ht="12.75">
      <c r="C37" s="41" t="s">
        <v>81</v>
      </c>
    </row>
    <row r="38" ht="12.75">
      <c r="C38" s="41" t="s">
        <v>78</v>
      </c>
    </row>
    <row r="39" ht="12.75">
      <c r="C39" s="116"/>
    </row>
    <row r="40" ht="12.75">
      <c r="C40" s="116"/>
    </row>
    <row r="41" ht="12.75">
      <c r="C41" s="116"/>
    </row>
    <row r="42" ht="12.75">
      <c r="C42" s="116"/>
    </row>
    <row r="43" ht="12.75">
      <c r="C43" s="116"/>
    </row>
    <row r="46" spans="4:7" ht="12.75">
      <c r="D46" s="121" t="s">
        <v>83</v>
      </c>
      <c r="E46" s="121"/>
      <c r="G46" s="121" t="s">
        <v>336</v>
      </c>
    </row>
    <row r="47" spans="4:7" ht="12.75">
      <c r="D47" s="123" t="s">
        <v>56</v>
      </c>
      <c r="E47" s="121"/>
      <c r="G47" s="265">
        <f>Summary!F13</f>
        <v>5.15</v>
      </c>
    </row>
    <row r="48" spans="4:7" ht="12.75">
      <c r="D48" s="121" t="s">
        <v>57</v>
      </c>
      <c r="G48" s="265">
        <f>Summary!F14</f>
        <v>6.34</v>
      </c>
    </row>
    <row r="49" spans="4:7" ht="12.75">
      <c r="D49" s="121" t="s">
        <v>58</v>
      </c>
      <c r="G49" s="265">
        <f>Summary!F15</f>
        <v>107</v>
      </c>
    </row>
    <row r="51" spans="2:8" ht="12.75">
      <c r="B51" s="46"/>
      <c r="C51" s="177"/>
      <c r="D51" s="177"/>
      <c r="E51" s="46"/>
      <c r="F51" s="46"/>
      <c r="G51" s="46"/>
      <c r="H51" s="46"/>
    </row>
    <row r="52" spans="2:8" ht="12.75">
      <c r="B52" s="46"/>
      <c r="C52" s="177"/>
      <c r="D52" s="177"/>
      <c r="E52" s="46"/>
      <c r="F52" s="46"/>
      <c r="G52" s="46"/>
      <c r="H52" s="46"/>
    </row>
    <row r="53" spans="2:8" ht="12.75">
      <c r="B53" s="46"/>
      <c r="C53" s="177"/>
      <c r="D53" s="177"/>
      <c r="E53" s="46"/>
      <c r="F53" s="46"/>
      <c r="G53" s="46"/>
      <c r="H53" s="46"/>
    </row>
    <row r="54" spans="2:8" ht="12.75">
      <c r="B54" s="46"/>
      <c r="C54" s="177"/>
      <c r="D54" s="177"/>
      <c r="E54" s="46"/>
      <c r="F54" s="46"/>
      <c r="G54" s="46"/>
      <c r="H54" s="46"/>
    </row>
    <row r="55" spans="2:8" ht="12.75">
      <c r="B55" s="46"/>
      <c r="C55" s="177"/>
      <c r="D55" s="177"/>
      <c r="E55" s="46"/>
      <c r="F55" s="46"/>
      <c r="G55" s="46"/>
      <c r="H55" s="46"/>
    </row>
    <row r="56" spans="2:8" ht="12.75">
      <c r="B56" s="46"/>
      <c r="C56" s="177"/>
      <c r="D56" s="177"/>
      <c r="E56" s="46"/>
      <c r="F56" s="46"/>
      <c r="G56" s="46"/>
      <c r="H56" s="46"/>
    </row>
    <row r="57" spans="2:8" ht="12.75">
      <c r="B57" s="46"/>
      <c r="C57" s="177"/>
      <c r="D57" s="177"/>
      <c r="E57" s="46"/>
      <c r="F57" s="46"/>
      <c r="G57" s="46"/>
      <c r="H57" s="46"/>
    </row>
    <row r="58" spans="2:8" ht="12.75">
      <c r="B58" s="46"/>
      <c r="C58" s="177"/>
      <c r="D58" s="177"/>
      <c r="E58" s="46"/>
      <c r="F58" s="46"/>
      <c r="G58" s="46"/>
      <c r="H58" s="46"/>
    </row>
    <row r="59" spans="2:8" ht="12.75">
      <c r="B59" s="46"/>
      <c r="C59" s="177"/>
      <c r="D59" s="177"/>
      <c r="E59" s="46"/>
      <c r="F59" s="46"/>
      <c r="G59" s="46"/>
      <c r="H59" s="46"/>
    </row>
    <row r="60" spans="2:8" ht="12.75">
      <c r="B60" s="46"/>
      <c r="C60" s="177"/>
      <c r="D60" s="177"/>
      <c r="E60" s="46"/>
      <c r="F60" s="46"/>
      <c r="G60" s="46"/>
      <c r="H60" s="46"/>
    </row>
    <row r="61" spans="2:8" ht="12.75">
      <c r="B61" s="46"/>
      <c r="C61" s="177"/>
      <c r="D61" s="177"/>
      <c r="E61" s="46"/>
      <c r="F61" s="46"/>
      <c r="G61" s="46"/>
      <c r="H61" s="46"/>
    </row>
    <row r="62" spans="2:8" ht="12.75">
      <c r="B62" s="46"/>
      <c r="C62" s="177"/>
      <c r="D62" s="177"/>
      <c r="E62" s="46"/>
      <c r="F62" s="46"/>
      <c r="G62" s="46"/>
      <c r="H62" s="46"/>
    </row>
    <row r="63" spans="2:8" ht="12.75">
      <c r="B63" s="46"/>
      <c r="C63" s="177"/>
      <c r="D63" s="177"/>
      <c r="E63" s="46"/>
      <c r="F63" s="46"/>
      <c r="G63" s="46"/>
      <c r="H63" s="46"/>
    </row>
    <row r="64" spans="2:8" ht="12.75">
      <c r="B64" s="46"/>
      <c r="C64" s="177"/>
      <c r="D64" s="177"/>
      <c r="E64" s="46"/>
      <c r="F64" s="46"/>
      <c r="G64" s="46"/>
      <c r="H64" s="46"/>
    </row>
    <row r="65" spans="2:8" ht="12.75">
      <c r="B65" s="46"/>
      <c r="C65" s="177"/>
      <c r="D65" s="177"/>
      <c r="E65" s="46"/>
      <c r="F65" s="46"/>
      <c r="G65" s="46"/>
      <c r="H65" s="46"/>
    </row>
    <row r="66" spans="2:8" ht="12.75">
      <c r="B66" s="46"/>
      <c r="C66" s="177"/>
      <c r="D66" s="177"/>
      <c r="E66" s="46"/>
      <c r="F66" s="46"/>
      <c r="G66" s="46"/>
      <c r="H66" s="46"/>
    </row>
    <row r="67" spans="2:8" ht="12.75">
      <c r="B67" s="46"/>
      <c r="C67" s="177"/>
      <c r="D67" s="177"/>
      <c r="E67" s="46"/>
      <c r="F67" s="46"/>
      <c r="G67" s="46"/>
      <c r="H67" s="46"/>
    </row>
    <row r="68" spans="2:8" ht="12.75">
      <c r="B68" s="46"/>
      <c r="C68" s="177"/>
      <c r="D68" s="177"/>
      <c r="E68" s="46"/>
      <c r="F68" s="46"/>
      <c r="G68" s="46"/>
      <c r="H68" s="46"/>
    </row>
    <row r="69" spans="2:8" ht="12.75">
      <c r="B69" s="46"/>
      <c r="C69" s="177"/>
      <c r="D69" s="177"/>
      <c r="E69" s="46"/>
      <c r="F69" s="46"/>
      <c r="G69" s="46"/>
      <c r="H69" s="46"/>
    </row>
    <row r="70" spans="2:8" ht="12.75">
      <c r="B70" s="46"/>
      <c r="C70" s="177"/>
      <c r="D70" s="177"/>
      <c r="E70" s="46"/>
      <c r="F70" s="46"/>
      <c r="G70" s="46"/>
      <c r="H70" s="46"/>
    </row>
    <row r="71" spans="2:8" ht="12.75">
      <c r="B71" s="46"/>
      <c r="C71" s="177"/>
      <c r="D71" s="177"/>
      <c r="E71" s="46"/>
      <c r="F71" s="46"/>
      <c r="G71" s="46"/>
      <c r="H71" s="46"/>
    </row>
    <row r="72" spans="2:8" ht="12.75">
      <c r="B72" s="46"/>
      <c r="C72" s="177"/>
      <c r="D72" s="177"/>
      <c r="E72" s="46"/>
      <c r="F72" s="46"/>
      <c r="G72" s="46"/>
      <c r="H72" s="46"/>
    </row>
  </sheetData>
  <sheetProtection/>
  <printOptions horizontalCentered="1"/>
  <pageMargins left="0.75" right="0.75" top="1" bottom="1" header="0.5" footer="0.5"/>
  <pageSetup horizontalDpi="600" verticalDpi="600" orientation="portrait" scale="90"/>
  <headerFooter alignWithMargins="0">
    <oddFooter>&amp;L&amp;A&amp;C&amp;F&amp;R&amp;D</oddFooter>
  </headerFooter>
  <drawing r:id="rId1"/>
</worksheet>
</file>

<file path=xl/worksheets/sheet5.xml><?xml version="1.0" encoding="utf-8"?>
<worksheet xmlns="http://schemas.openxmlformats.org/spreadsheetml/2006/main" xmlns:r="http://schemas.openxmlformats.org/officeDocument/2006/relationships">
  <sheetPr codeName="Sheet11">
    <tabColor indexed="50"/>
    <pageSetUpPr fitToPage="1"/>
  </sheetPr>
  <dimension ref="B2:I53"/>
  <sheetViews>
    <sheetView zoomScalePageLayoutView="0" workbookViewId="0" topLeftCell="A21">
      <selection activeCell="D58" sqref="D58"/>
    </sheetView>
  </sheetViews>
  <sheetFormatPr defaultColWidth="8.7109375" defaultRowHeight="12.75"/>
  <cols>
    <col min="1" max="1" width="7.140625" style="46" customWidth="1"/>
    <col min="2" max="2" width="32.421875" style="46" customWidth="1"/>
    <col min="3" max="3" width="13.140625" style="46" customWidth="1"/>
    <col min="4" max="4" width="13.421875" style="104" customWidth="1"/>
    <col min="5" max="5" width="9.421875" style="46" customWidth="1"/>
    <col min="6" max="16384" width="8.7109375" style="46" customWidth="1"/>
  </cols>
  <sheetData>
    <row r="2" spans="2:5" ht="18" customHeight="1">
      <c r="B2" s="413" t="s">
        <v>335</v>
      </c>
      <c r="C2" s="414"/>
      <c r="D2" s="414"/>
      <c r="E2" s="415"/>
    </row>
    <row r="3" spans="2:5" ht="12.75">
      <c r="B3" s="416" t="s">
        <v>314</v>
      </c>
      <c r="C3" s="417"/>
      <c r="D3" s="417"/>
      <c r="E3" s="418"/>
    </row>
    <row r="4" spans="2:5" ht="12.75">
      <c r="B4" s="419" t="s">
        <v>312</v>
      </c>
      <c r="C4" s="420"/>
      <c r="D4" s="420"/>
      <c r="E4" s="421"/>
    </row>
    <row r="5" spans="2:5" ht="12.75">
      <c r="B5" s="422" t="s">
        <v>316</v>
      </c>
      <c r="C5" s="423"/>
      <c r="D5" s="423"/>
      <c r="E5" s="424"/>
    </row>
    <row r="6" spans="2:5" ht="12.75">
      <c r="B6" s="425" t="s">
        <v>334</v>
      </c>
      <c r="C6" s="426"/>
      <c r="D6" s="426"/>
      <c r="E6" s="427"/>
    </row>
    <row r="8" spans="2:5" s="157" customFormat="1" ht="25.5" customHeight="1">
      <c r="B8" s="412" t="s">
        <v>337</v>
      </c>
      <c r="C8" s="412"/>
      <c r="D8" s="412"/>
      <c r="E8" s="412"/>
    </row>
    <row r="9" spans="2:5" s="157" customFormat="1" ht="6" customHeight="1">
      <c r="B9" s="311"/>
      <c r="C9" s="311"/>
      <c r="D9" s="311"/>
      <c r="E9" s="311"/>
    </row>
    <row r="10" spans="2:5" ht="15" customHeight="1">
      <c r="B10" s="206"/>
      <c r="C10" s="200"/>
      <c r="D10" s="207">
        <v>2009</v>
      </c>
      <c r="E10" s="208"/>
    </row>
    <row r="11" spans="2:5" ht="15" customHeight="1">
      <c r="B11" s="209"/>
      <c r="C11" s="210" t="s">
        <v>369</v>
      </c>
      <c r="D11" s="211" t="s">
        <v>131</v>
      </c>
      <c r="E11" s="212"/>
    </row>
    <row r="12" spans="2:5" ht="12.75">
      <c r="B12" s="312" t="s">
        <v>295</v>
      </c>
      <c r="C12" s="313"/>
      <c r="D12" s="314"/>
      <c r="E12" s="315"/>
    </row>
    <row r="13" spans="2:5" ht="12.75">
      <c r="B13" s="316" t="s">
        <v>132</v>
      </c>
      <c r="C13" s="317" t="s">
        <v>221</v>
      </c>
      <c r="D13" s="340">
        <v>1.75</v>
      </c>
      <c r="E13" s="319"/>
    </row>
    <row r="14" spans="2:5" ht="12.75">
      <c r="B14" s="316" t="s">
        <v>133</v>
      </c>
      <c r="C14" s="317" t="s">
        <v>221</v>
      </c>
      <c r="D14" s="340">
        <v>2.25</v>
      </c>
      <c r="E14" s="319"/>
    </row>
    <row r="15" spans="2:5" ht="12.75">
      <c r="B15" s="316"/>
      <c r="C15" s="317"/>
      <c r="D15" s="318"/>
      <c r="E15" s="320"/>
    </row>
    <row r="16" spans="2:5" ht="12.75">
      <c r="B16" s="321" t="s">
        <v>238</v>
      </c>
      <c r="C16" s="322"/>
      <c r="D16" s="318"/>
      <c r="E16" s="320"/>
    </row>
    <row r="17" spans="2:5" ht="12.75">
      <c r="B17" s="316" t="s">
        <v>92</v>
      </c>
      <c r="C17" s="317" t="s">
        <v>302</v>
      </c>
      <c r="D17" s="340">
        <v>0.15</v>
      </c>
      <c r="E17" s="320"/>
    </row>
    <row r="18" spans="2:9" s="73" customFormat="1" ht="12" customHeight="1">
      <c r="B18" s="316" t="s">
        <v>181</v>
      </c>
      <c r="C18" s="317" t="s">
        <v>302</v>
      </c>
      <c r="D18" s="340">
        <v>0.12</v>
      </c>
      <c r="E18" s="323"/>
      <c r="H18" s="127"/>
      <c r="I18" s="126"/>
    </row>
    <row r="19" spans="2:9" s="73" customFormat="1" ht="12.75">
      <c r="B19" s="316" t="s">
        <v>306</v>
      </c>
      <c r="C19" s="317" t="s">
        <v>302</v>
      </c>
      <c r="D19" s="340">
        <v>0.22</v>
      </c>
      <c r="E19" s="323"/>
      <c r="H19" s="127"/>
      <c r="I19" s="126"/>
    </row>
    <row r="20" spans="2:5" ht="12.75">
      <c r="B20" s="324"/>
      <c r="C20" s="325"/>
      <c r="D20" s="326"/>
      <c r="E20" s="320"/>
    </row>
    <row r="21" spans="2:5" ht="12.75">
      <c r="B21" s="321" t="s">
        <v>239</v>
      </c>
      <c r="C21" s="317"/>
      <c r="D21" s="318"/>
      <c r="E21" s="320"/>
    </row>
    <row r="22" spans="2:5" ht="12.75">
      <c r="B22" s="316" t="s">
        <v>271</v>
      </c>
      <c r="C22" s="317" t="s">
        <v>302</v>
      </c>
      <c r="D22" s="340">
        <v>0.55</v>
      </c>
      <c r="E22" s="327"/>
    </row>
    <row r="23" spans="2:5" ht="12.75">
      <c r="B23" s="316" t="s">
        <v>317</v>
      </c>
      <c r="C23" s="317" t="s">
        <v>302</v>
      </c>
      <c r="D23" s="340">
        <v>1.17</v>
      </c>
      <c r="E23" s="327"/>
    </row>
    <row r="24" spans="2:5" ht="12.75">
      <c r="B24" s="316" t="s">
        <v>211</v>
      </c>
      <c r="C24" s="317" t="s">
        <v>302</v>
      </c>
      <c r="D24" s="340">
        <v>0.23</v>
      </c>
      <c r="E24" s="327"/>
    </row>
    <row r="25" spans="2:5" ht="12.75">
      <c r="B25" s="324"/>
      <c r="C25" s="325"/>
      <c r="D25" s="326"/>
      <c r="E25" s="320"/>
    </row>
    <row r="26" spans="2:5" ht="12.75">
      <c r="B26" s="321" t="s">
        <v>134</v>
      </c>
      <c r="C26" s="317"/>
      <c r="D26" s="318"/>
      <c r="E26" s="320"/>
    </row>
    <row r="27" spans="2:5" ht="12.75">
      <c r="B27" s="328" t="s">
        <v>346</v>
      </c>
      <c r="C27" s="329" t="s">
        <v>135</v>
      </c>
      <c r="D27" s="340">
        <v>1</v>
      </c>
      <c r="E27" s="320"/>
    </row>
    <row r="28" spans="2:5" ht="12.75">
      <c r="B28" s="316" t="s">
        <v>277</v>
      </c>
      <c r="C28" s="317" t="s">
        <v>235</v>
      </c>
      <c r="D28" s="340">
        <v>0.2</v>
      </c>
      <c r="E28" s="320"/>
    </row>
    <row r="29" spans="2:5" ht="12.75">
      <c r="B29" s="316" t="s">
        <v>276</v>
      </c>
      <c r="C29" s="317" t="s">
        <v>235</v>
      </c>
      <c r="D29" s="340">
        <v>0.0234</v>
      </c>
      <c r="E29" s="320"/>
    </row>
    <row r="30" spans="2:5" ht="12.75">
      <c r="B30" s="324"/>
      <c r="C30" s="325"/>
      <c r="D30" s="326"/>
      <c r="E30" s="320"/>
    </row>
    <row r="31" spans="2:5" ht="12.75">
      <c r="B31" s="321" t="s">
        <v>240</v>
      </c>
      <c r="C31" s="317"/>
      <c r="D31" s="318"/>
      <c r="E31" s="320"/>
    </row>
    <row r="32" spans="2:5" ht="12.75">
      <c r="B32" s="316" t="s">
        <v>229</v>
      </c>
      <c r="C32" s="317" t="s">
        <v>235</v>
      </c>
      <c r="D32" s="340">
        <v>0.16</v>
      </c>
      <c r="E32" s="320"/>
    </row>
    <row r="33" spans="2:9" s="73" customFormat="1" ht="12.75">
      <c r="B33" s="316" t="s">
        <v>206</v>
      </c>
      <c r="C33" s="317" t="s">
        <v>235</v>
      </c>
      <c r="D33" s="340">
        <v>10</v>
      </c>
      <c r="E33" s="323"/>
      <c r="H33" s="127"/>
      <c r="I33" s="126"/>
    </row>
    <row r="34" spans="2:9" s="73" customFormat="1" ht="12.75">
      <c r="B34" s="316" t="s">
        <v>182</v>
      </c>
      <c r="C34" s="317" t="s">
        <v>135</v>
      </c>
      <c r="D34" s="340">
        <v>7.68</v>
      </c>
      <c r="E34" s="323"/>
      <c r="H34" s="127"/>
      <c r="I34" s="126"/>
    </row>
    <row r="35" spans="2:5" ht="12.75">
      <c r="B35" s="316" t="s">
        <v>136</v>
      </c>
      <c r="C35" s="317" t="s">
        <v>235</v>
      </c>
      <c r="D35" s="340">
        <v>0.39</v>
      </c>
      <c r="E35" s="320"/>
    </row>
    <row r="36" spans="2:5" ht="12.75">
      <c r="B36" s="316" t="s">
        <v>230</v>
      </c>
      <c r="C36" s="317" t="s">
        <v>235</v>
      </c>
      <c r="D36" s="340">
        <v>18</v>
      </c>
      <c r="E36" s="320"/>
    </row>
    <row r="37" spans="2:5" ht="12.75">
      <c r="B37" s="328" t="s">
        <v>345</v>
      </c>
      <c r="C37" s="329" t="s">
        <v>135</v>
      </c>
      <c r="D37" s="340">
        <v>9.38</v>
      </c>
      <c r="E37" s="320"/>
    </row>
    <row r="38" spans="2:5" ht="12.75">
      <c r="B38" s="316"/>
      <c r="C38" s="317"/>
      <c r="D38" s="318"/>
      <c r="E38" s="320"/>
    </row>
    <row r="39" spans="2:5" ht="12.75">
      <c r="B39" s="330" t="s">
        <v>137</v>
      </c>
      <c r="C39" s="325"/>
      <c r="D39" s="326"/>
      <c r="E39" s="320"/>
    </row>
    <row r="40" spans="2:5" ht="12.75">
      <c r="B40" s="331" t="s">
        <v>138</v>
      </c>
      <c r="C40" s="317" t="s">
        <v>303</v>
      </c>
      <c r="D40" s="340">
        <v>1.75</v>
      </c>
      <c r="E40" s="320"/>
    </row>
    <row r="41" spans="2:5" ht="12.75">
      <c r="B41" s="316" t="s">
        <v>139</v>
      </c>
      <c r="C41" s="317" t="s">
        <v>303</v>
      </c>
      <c r="D41" s="340">
        <v>1</v>
      </c>
      <c r="E41" s="320"/>
    </row>
    <row r="42" spans="2:5" ht="12.75">
      <c r="B42" s="316"/>
      <c r="C42" s="317"/>
      <c r="D42" s="318"/>
      <c r="E42" s="320"/>
    </row>
    <row r="43" spans="2:5" ht="12.75">
      <c r="B43" s="330" t="s">
        <v>296</v>
      </c>
      <c r="C43" s="317" t="s">
        <v>303</v>
      </c>
      <c r="D43" s="340">
        <v>0</v>
      </c>
      <c r="E43" s="320"/>
    </row>
    <row r="44" spans="2:5" ht="12.75">
      <c r="B44" s="330" t="s">
        <v>320</v>
      </c>
      <c r="C44" s="317" t="s">
        <v>303</v>
      </c>
      <c r="D44" s="340">
        <v>3.9</v>
      </c>
      <c r="E44" s="320"/>
    </row>
    <row r="45" spans="2:5" ht="12.75">
      <c r="B45" s="316"/>
      <c r="C45" s="317"/>
      <c r="D45" s="318"/>
      <c r="E45" s="320"/>
    </row>
    <row r="46" spans="2:5" ht="12.75">
      <c r="B46" s="330" t="s">
        <v>140</v>
      </c>
      <c r="C46" s="325"/>
      <c r="D46" s="326"/>
      <c r="E46" s="320"/>
    </row>
    <row r="47" spans="2:5" ht="12.75">
      <c r="B47" s="331" t="s">
        <v>141</v>
      </c>
      <c r="C47" s="325" t="s">
        <v>142</v>
      </c>
      <c r="D47" s="340">
        <v>20</v>
      </c>
      <c r="E47" s="320"/>
    </row>
    <row r="48" spans="2:5" ht="12.75">
      <c r="B48" s="324"/>
      <c r="C48" s="325"/>
      <c r="D48" s="332"/>
      <c r="E48" s="320"/>
    </row>
    <row r="49" spans="2:5" ht="12" customHeight="1">
      <c r="B49" s="330" t="s">
        <v>309</v>
      </c>
      <c r="C49" s="333"/>
      <c r="D49" s="318"/>
      <c r="E49" s="323"/>
    </row>
    <row r="50" spans="2:5" ht="12" customHeight="1">
      <c r="B50" s="331" t="s">
        <v>310</v>
      </c>
      <c r="C50" s="334" t="s">
        <v>177</v>
      </c>
      <c r="D50" s="341">
        <v>0.075</v>
      </c>
      <c r="E50" s="323"/>
    </row>
    <row r="51" spans="2:5" ht="12" customHeight="1">
      <c r="B51" s="331" t="s">
        <v>311</v>
      </c>
      <c r="C51" s="334" t="s">
        <v>177</v>
      </c>
      <c r="D51" s="335">
        <v>0.075</v>
      </c>
      <c r="E51" s="323"/>
    </row>
    <row r="52" spans="2:5" ht="12" customHeight="1">
      <c r="B52" s="336"/>
      <c r="C52" s="337"/>
      <c r="D52" s="338"/>
      <c r="E52" s="339"/>
    </row>
    <row r="53" ht="12.75">
      <c r="B53" s="46" t="s">
        <v>118</v>
      </c>
    </row>
  </sheetData>
  <sheetProtection/>
  <mergeCells count="6">
    <mergeCell ref="B8:E8"/>
    <mergeCell ref="B2:E2"/>
    <mergeCell ref="B3:E3"/>
    <mergeCell ref="B4:E4"/>
    <mergeCell ref="B5:E5"/>
    <mergeCell ref="B6:E6"/>
  </mergeCells>
  <printOptions horizontalCentered="1"/>
  <pageMargins left="0.75" right="0.75" top="1" bottom="1" header="0.5" footer="0.5"/>
  <pageSetup fitToHeight="1" fitToWidth="1" orientation="portrait"/>
  <headerFooter alignWithMargins="0">
    <oddFooter>&amp;L&amp;A&amp;C&amp;F&amp;R&amp;D</oddFooter>
  </headerFooter>
</worksheet>
</file>

<file path=xl/worksheets/sheet6.xml><?xml version="1.0" encoding="utf-8"?>
<worksheet xmlns="http://schemas.openxmlformats.org/spreadsheetml/2006/main" xmlns:r="http://schemas.openxmlformats.org/officeDocument/2006/relationships">
  <sheetPr codeName="Sheet3">
    <pageSetUpPr fitToPage="1"/>
  </sheetPr>
  <dimension ref="A1:AG106"/>
  <sheetViews>
    <sheetView zoomScalePageLayoutView="0" workbookViewId="0" topLeftCell="A1">
      <selection activeCell="A1" sqref="A1"/>
    </sheetView>
  </sheetViews>
  <sheetFormatPr defaultColWidth="8.7109375" defaultRowHeight="12.75"/>
  <cols>
    <col min="1" max="1" width="3.7109375" style="46" customWidth="1"/>
    <col min="2" max="2" width="26.421875" style="0" customWidth="1"/>
    <col min="3" max="3" width="1.7109375" style="0" customWidth="1"/>
    <col min="4" max="4" width="11.7109375" style="72" customWidth="1"/>
    <col min="5" max="5" width="1.7109375" style="0" customWidth="1"/>
    <col min="6" max="6" width="10.7109375" style="27" customWidth="1"/>
    <col min="7" max="7" width="1.7109375" style="0" customWidth="1"/>
    <col min="8" max="8" width="10.7109375" style="72" customWidth="1"/>
    <col min="9" max="9" width="1.7109375" style="0" customWidth="1"/>
    <col min="10" max="10" width="20.421875" style="39" customWidth="1"/>
    <col min="11" max="11" width="3.28125" style="0" hidden="1" customWidth="1"/>
    <col min="12" max="33" width="8.7109375" style="46" customWidth="1"/>
  </cols>
  <sheetData>
    <row r="1" spans="4:8" s="46" customFormat="1" ht="12.75">
      <c r="D1" s="77"/>
      <c r="E1" s="103"/>
      <c r="F1" s="104"/>
      <c r="G1" s="103"/>
      <c r="H1" s="105"/>
    </row>
    <row r="2" spans="2:10" s="46" customFormat="1" ht="18" customHeight="1">
      <c r="B2" s="413" t="s">
        <v>335</v>
      </c>
      <c r="C2" s="430"/>
      <c r="D2" s="430"/>
      <c r="E2" s="430"/>
      <c r="F2" s="430"/>
      <c r="G2" s="430"/>
      <c r="H2" s="430"/>
      <c r="I2" s="430"/>
      <c r="J2" s="431"/>
    </row>
    <row r="3" spans="2:10" s="46" customFormat="1" ht="12.75">
      <c r="B3" s="416" t="s">
        <v>314</v>
      </c>
      <c r="C3" s="432"/>
      <c r="D3" s="432"/>
      <c r="E3" s="432"/>
      <c r="F3" s="432"/>
      <c r="G3" s="432"/>
      <c r="H3" s="432"/>
      <c r="I3" s="432"/>
      <c r="J3" s="433"/>
    </row>
    <row r="4" spans="2:10" s="46" customFormat="1" ht="12.75">
      <c r="B4" s="419" t="s">
        <v>5</v>
      </c>
      <c r="C4" s="434"/>
      <c r="D4" s="434"/>
      <c r="E4" s="434"/>
      <c r="F4" s="434"/>
      <c r="G4" s="434"/>
      <c r="H4" s="434"/>
      <c r="I4" s="434"/>
      <c r="J4" s="435"/>
    </row>
    <row r="5" spans="2:10" s="46" customFormat="1" ht="12.75">
      <c r="B5" s="422" t="s">
        <v>316</v>
      </c>
      <c r="C5" s="436"/>
      <c r="D5" s="436"/>
      <c r="E5" s="436"/>
      <c r="F5" s="436"/>
      <c r="G5" s="436"/>
      <c r="H5" s="436"/>
      <c r="I5" s="436"/>
      <c r="J5" s="437"/>
    </row>
    <row r="6" spans="1:10" s="46" customFormat="1" ht="12.75">
      <c r="A6" s="155"/>
      <c r="B6" s="425" t="s">
        <v>334</v>
      </c>
      <c r="C6" s="428"/>
      <c r="D6" s="428"/>
      <c r="E6" s="428"/>
      <c r="F6" s="428"/>
      <c r="G6" s="428"/>
      <c r="H6" s="428"/>
      <c r="I6" s="428"/>
      <c r="J6" s="429"/>
    </row>
    <row r="7" spans="4:8" s="46" customFormat="1" ht="6" customHeight="1">
      <c r="D7" s="77"/>
      <c r="F7" s="47"/>
      <c r="H7" s="77"/>
    </row>
    <row r="8" spans="1:33" s="159" customFormat="1" ht="18" customHeight="1">
      <c r="A8" s="158"/>
      <c r="B8" s="342" t="s">
        <v>270</v>
      </c>
      <c r="C8" s="342"/>
      <c r="D8" s="343"/>
      <c r="E8" s="342"/>
      <c r="F8" s="344"/>
      <c r="G8" s="342"/>
      <c r="H8" s="343"/>
      <c r="I8" s="342"/>
      <c r="J8" s="342"/>
      <c r="K8" s="158"/>
      <c r="L8" s="158"/>
      <c r="M8" s="158"/>
      <c r="N8" s="158"/>
      <c r="O8" s="158"/>
      <c r="P8" s="158"/>
      <c r="Q8" s="158"/>
      <c r="R8" s="158"/>
      <c r="S8" s="158"/>
      <c r="T8" s="158"/>
      <c r="U8" s="158"/>
      <c r="V8" s="158"/>
      <c r="W8" s="158"/>
      <c r="X8" s="158"/>
      <c r="Y8" s="158"/>
      <c r="Z8" s="158"/>
      <c r="AA8" s="158"/>
      <c r="AB8" s="158"/>
      <c r="AC8" s="158"/>
      <c r="AD8" s="158"/>
      <c r="AE8" s="158"/>
      <c r="AF8" s="158"/>
      <c r="AG8" s="158"/>
    </row>
    <row r="9" spans="1:33" s="41" customFormat="1" ht="3.75" customHeight="1">
      <c r="A9" s="46"/>
      <c r="B9" s="345"/>
      <c r="C9" s="345"/>
      <c r="D9" s="346"/>
      <c r="E9" s="345"/>
      <c r="F9" s="347"/>
      <c r="G9" s="345"/>
      <c r="H9" s="346"/>
      <c r="I9" s="345"/>
      <c r="J9" s="345"/>
      <c r="K9" s="40"/>
      <c r="L9" s="46"/>
      <c r="M9" s="46"/>
      <c r="N9" s="46"/>
      <c r="O9" s="46"/>
      <c r="P9" s="46"/>
      <c r="Q9" s="46"/>
      <c r="R9" s="46"/>
      <c r="S9" s="46"/>
      <c r="T9" s="46"/>
      <c r="U9" s="46"/>
      <c r="V9" s="46"/>
      <c r="W9" s="46"/>
      <c r="X9" s="46"/>
      <c r="Y9" s="46"/>
      <c r="Z9" s="46"/>
      <c r="AA9" s="46"/>
      <c r="AB9" s="46"/>
      <c r="AC9" s="46"/>
      <c r="AD9" s="46"/>
      <c r="AE9" s="46"/>
      <c r="AF9" s="46"/>
      <c r="AG9" s="46"/>
    </row>
    <row r="10" spans="2:10" ht="15">
      <c r="B10" s="2"/>
      <c r="C10" s="3"/>
      <c r="D10" s="3" t="s">
        <v>364</v>
      </c>
      <c r="E10" s="3"/>
      <c r="F10" s="4"/>
      <c r="G10" s="3"/>
      <c r="H10" s="3" t="s">
        <v>365</v>
      </c>
      <c r="I10" s="3"/>
      <c r="J10" s="5" t="s">
        <v>366</v>
      </c>
    </row>
    <row r="11" spans="2:10" ht="15">
      <c r="B11" s="6" t="s">
        <v>367</v>
      </c>
      <c r="C11" s="3"/>
      <c r="D11" s="3" t="s">
        <v>368</v>
      </c>
      <c r="E11" s="3"/>
      <c r="F11" s="4" t="s">
        <v>369</v>
      </c>
      <c r="G11" s="3"/>
      <c r="H11" s="3" t="s">
        <v>321</v>
      </c>
      <c r="I11" s="3"/>
      <c r="J11" s="5" t="s">
        <v>236</v>
      </c>
    </row>
    <row r="12" spans="2:11" ht="4.5" customHeight="1">
      <c r="B12" s="7"/>
      <c r="C12" s="8"/>
      <c r="D12" s="7"/>
      <c r="E12" s="8"/>
      <c r="F12" s="9"/>
      <c r="G12" s="8"/>
      <c r="H12" s="7"/>
      <c r="I12" s="8"/>
      <c r="J12" s="10"/>
      <c r="K12" s="1"/>
    </row>
    <row r="13" spans="2:10" ht="12.75">
      <c r="B13" s="11" t="s">
        <v>30</v>
      </c>
      <c r="C13" s="12"/>
      <c r="D13" s="51"/>
      <c r="E13" s="12"/>
      <c r="F13" s="13"/>
      <c r="G13" s="12"/>
      <c r="H13" s="83"/>
      <c r="I13" s="12"/>
      <c r="J13" s="21"/>
    </row>
    <row r="14" spans="2:10" ht="4.5" customHeight="1">
      <c r="B14" s="12"/>
      <c r="C14" s="12"/>
      <c r="D14" s="51"/>
      <c r="E14" s="12"/>
      <c r="F14" s="13"/>
      <c r="G14" s="12"/>
      <c r="H14" s="83"/>
      <c r="I14" s="12"/>
      <c r="J14" s="21"/>
    </row>
    <row r="15" spans="2:13" ht="12.75">
      <c r="B15" s="12" t="s">
        <v>239</v>
      </c>
      <c r="C15" s="12"/>
      <c r="D15" s="51"/>
      <c r="E15" s="12"/>
      <c r="F15" s="13"/>
      <c r="G15" s="12"/>
      <c r="H15" s="83"/>
      <c r="I15" s="12"/>
      <c r="J15" s="22">
        <f>SUM(J16:J17)</f>
        <v>0</v>
      </c>
      <c r="M15" s="48"/>
    </row>
    <row r="16" spans="2:10" ht="12.75">
      <c r="B16" s="23"/>
      <c r="C16" s="12"/>
      <c r="D16" s="348"/>
      <c r="E16" s="12"/>
      <c r="F16" s="24"/>
      <c r="G16" s="12"/>
      <c r="H16" s="349"/>
      <c r="I16" s="12"/>
      <c r="J16" s="25">
        <f>D16*H16</f>
        <v>0</v>
      </c>
    </row>
    <row r="17" spans="2:10" ht="12.75">
      <c r="B17" s="23"/>
      <c r="C17" s="12"/>
      <c r="D17" s="348"/>
      <c r="E17" s="12"/>
      <c r="F17" s="24"/>
      <c r="G17" s="12"/>
      <c r="H17" s="349"/>
      <c r="I17" s="12"/>
      <c r="J17" s="25">
        <f>D17*H17</f>
        <v>0</v>
      </c>
    </row>
    <row r="18" spans="2:10" ht="4.5" customHeight="1">
      <c r="B18" s="12"/>
      <c r="C18" s="12"/>
      <c r="D18" s="51"/>
      <c r="E18" s="12"/>
      <c r="F18" s="13"/>
      <c r="G18" s="12"/>
      <c r="H18" s="83"/>
      <c r="I18" s="12"/>
      <c r="J18" s="25"/>
    </row>
    <row r="19" spans="2:10" ht="12.75">
      <c r="B19" s="12" t="s">
        <v>240</v>
      </c>
      <c r="C19" s="12"/>
      <c r="D19" s="51"/>
      <c r="E19" s="12"/>
      <c r="F19" s="13"/>
      <c r="G19" s="12"/>
      <c r="H19" s="83"/>
      <c r="I19" s="12"/>
      <c r="J19" s="26">
        <f>SUM(J20:J23)</f>
        <v>31.170000000000005</v>
      </c>
    </row>
    <row r="20" spans="2:10" ht="12.75">
      <c r="B20" s="23" t="s">
        <v>231</v>
      </c>
      <c r="C20" s="12"/>
      <c r="D20" s="348">
        <v>66</v>
      </c>
      <c r="E20" s="12"/>
      <c r="F20" s="24" t="s">
        <v>235</v>
      </c>
      <c r="G20" s="12"/>
      <c r="H20" s="350">
        <f>+Roundup</f>
        <v>0.39</v>
      </c>
      <c r="I20" s="12"/>
      <c r="J20" s="25">
        <f>D20*H20</f>
        <v>25.740000000000002</v>
      </c>
    </row>
    <row r="21" spans="2:10" ht="12.75">
      <c r="B21" s="23" t="s">
        <v>277</v>
      </c>
      <c r="C21" s="12"/>
      <c r="D21" s="348">
        <v>9.6</v>
      </c>
      <c r="E21" s="12"/>
      <c r="F21" s="24" t="s">
        <v>235</v>
      </c>
      <c r="G21" s="12"/>
      <c r="H21" s="350">
        <f>+Excel</f>
        <v>0.2</v>
      </c>
      <c r="I21" s="12"/>
      <c r="J21" s="25">
        <f>D21*H21</f>
        <v>1.92</v>
      </c>
    </row>
    <row r="22" spans="2:10" ht="12.75">
      <c r="B22" s="23" t="s">
        <v>276</v>
      </c>
      <c r="C22" s="12"/>
      <c r="D22" s="348">
        <v>150</v>
      </c>
      <c r="E22" s="12"/>
      <c r="F22" s="24" t="s">
        <v>235</v>
      </c>
      <c r="G22" s="12"/>
      <c r="H22" s="350">
        <f>+UltraPro</f>
        <v>0.0234</v>
      </c>
      <c r="I22" s="12"/>
      <c r="J22" s="25">
        <f>D22*H22</f>
        <v>3.5100000000000002</v>
      </c>
    </row>
    <row r="23" spans="2:10" ht="12.75">
      <c r="B23" s="23"/>
      <c r="C23" s="12"/>
      <c r="D23" s="348"/>
      <c r="E23" s="12"/>
      <c r="F23" s="24"/>
      <c r="G23" s="12"/>
      <c r="H23" s="349"/>
      <c r="I23" s="12"/>
      <c r="J23" s="25">
        <f>D23*H23</f>
        <v>0</v>
      </c>
    </row>
    <row r="24" spans="2:10" ht="5.25" customHeight="1">
      <c r="B24" s="12"/>
      <c r="C24" s="12"/>
      <c r="D24" s="78"/>
      <c r="E24" s="12"/>
      <c r="F24" s="13"/>
      <c r="G24" s="12"/>
      <c r="H24" s="83"/>
      <c r="I24" s="12"/>
      <c r="J24" s="25"/>
    </row>
    <row r="25" spans="2:10" ht="12.75">
      <c r="B25" s="12" t="s">
        <v>1</v>
      </c>
      <c r="C25" s="12"/>
      <c r="D25" s="51"/>
      <c r="E25" s="12"/>
      <c r="F25" s="13"/>
      <c r="G25" s="12"/>
      <c r="H25" s="83"/>
      <c r="I25" s="12"/>
      <c r="J25" s="26">
        <f>SUM(J26:J30)</f>
        <v>16.732971428571428</v>
      </c>
    </row>
    <row r="26" spans="2:10" ht="12.75">
      <c r="B26" s="39" t="s">
        <v>219</v>
      </c>
      <c r="C26" s="12"/>
      <c r="D26" s="351">
        <f>'Machine Costs'!$K$42</f>
        <v>1.7008</v>
      </c>
      <c r="E26" s="12"/>
      <c r="F26" s="24" t="s">
        <v>221</v>
      </c>
      <c r="G26" s="12"/>
      <c r="H26" s="350">
        <f>+Diesel</f>
        <v>1.75</v>
      </c>
      <c r="I26" s="12"/>
      <c r="J26" s="25">
        <f>D26*H26</f>
        <v>2.9764</v>
      </c>
    </row>
    <row r="27" spans="2:10" ht="12.75">
      <c r="B27" s="39" t="s">
        <v>220</v>
      </c>
      <c r="C27" s="12"/>
      <c r="D27" s="50">
        <v>1</v>
      </c>
      <c r="E27" s="12"/>
      <c r="F27" s="24" t="s">
        <v>303</v>
      </c>
      <c r="G27" s="12"/>
      <c r="H27" s="352">
        <f>'Machine Costs'!$L$42</f>
        <v>0.708</v>
      </c>
      <c r="I27" s="12"/>
      <c r="J27" s="25">
        <f>D27*H27</f>
        <v>0.708</v>
      </c>
    </row>
    <row r="28" spans="2:10" ht="12.75">
      <c r="B28" s="39" t="s">
        <v>243</v>
      </c>
      <c r="C28" s="12"/>
      <c r="D28" s="79">
        <v>1</v>
      </c>
      <c r="E28" s="12"/>
      <c r="F28" s="24" t="s">
        <v>303</v>
      </c>
      <c r="G28" s="12"/>
      <c r="H28" s="352">
        <f>'Machine Costs'!$G$42</f>
        <v>4.3999999999999995</v>
      </c>
      <c r="I28" s="12"/>
      <c r="J28" s="25">
        <f>D28*H28</f>
        <v>4.3999999999999995</v>
      </c>
    </row>
    <row r="29" spans="2:10" ht="12.75">
      <c r="B29" s="39" t="s">
        <v>193</v>
      </c>
      <c r="C29" s="12"/>
      <c r="D29" s="351">
        <f>'Machine Costs'!$I$42</f>
        <v>0.43242857142857144</v>
      </c>
      <c r="E29" s="12"/>
      <c r="F29" s="24" t="s">
        <v>303</v>
      </c>
      <c r="G29" s="12"/>
      <c r="H29" s="350">
        <f>HourlyMachineLabor</f>
        <v>20</v>
      </c>
      <c r="I29" s="12"/>
      <c r="J29" s="25">
        <f>D29*H29</f>
        <v>8.64857142857143</v>
      </c>
    </row>
    <row r="30" spans="2:10" ht="12.75">
      <c r="B30" s="39"/>
      <c r="C30" s="12"/>
      <c r="D30" s="182"/>
      <c r="E30" s="12"/>
      <c r="F30" s="24"/>
      <c r="G30" s="12"/>
      <c r="H30" s="52"/>
      <c r="I30" s="12"/>
      <c r="J30" s="76">
        <f>D30*H30</f>
        <v>0</v>
      </c>
    </row>
    <row r="31" spans="2:10" ht="5.25" customHeight="1">
      <c r="B31" s="12"/>
      <c r="C31" s="12"/>
      <c r="D31" s="78"/>
      <c r="E31" s="12"/>
      <c r="F31" s="13"/>
      <c r="G31" s="12"/>
      <c r="H31" s="83"/>
      <c r="I31" s="12"/>
      <c r="J31" s="25"/>
    </row>
    <row r="32" spans="2:10" ht="12.75">
      <c r="B32" s="12" t="s">
        <v>241</v>
      </c>
      <c r="C32" s="12"/>
      <c r="D32" s="51"/>
      <c r="E32" s="12"/>
      <c r="F32" s="13"/>
      <c r="G32" s="12"/>
      <c r="H32" s="83"/>
      <c r="I32" s="12"/>
      <c r="J32" s="26">
        <f>SUM(J33:J34)</f>
        <v>5.25</v>
      </c>
    </row>
    <row r="33" spans="2:10" ht="12.75">
      <c r="B33" s="23" t="s">
        <v>268</v>
      </c>
      <c r="C33" s="12"/>
      <c r="D33" s="348">
        <v>3</v>
      </c>
      <c r="E33" s="12"/>
      <c r="F33" s="24" t="s">
        <v>303</v>
      </c>
      <c r="G33" s="12"/>
      <c r="H33" s="350">
        <f>+RentalSprayer</f>
        <v>1.75</v>
      </c>
      <c r="I33" s="12"/>
      <c r="J33" s="25">
        <f>D33*H33</f>
        <v>5.25</v>
      </c>
    </row>
    <row r="34" spans="2:10" ht="12.75">
      <c r="B34" s="23"/>
      <c r="C34" s="12"/>
      <c r="D34" s="348"/>
      <c r="E34" s="12"/>
      <c r="F34" s="24"/>
      <c r="G34" s="12"/>
      <c r="H34" s="349"/>
      <c r="I34" s="12"/>
      <c r="J34" s="25">
        <f>D34*H34</f>
        <v>0</v>
      </c>
    </row>
    <row r="35" spans="2:10" ht="5.25" customHeight="1">
      <c r="B35" s="12"/>
      <c r="C35" s="12"/>
      <c r="D35" s="51"/>
      <c r="E35" s="12"/>
      <c r="F35" s="13"/>
      <c r="G35" s="12"/>
      <c r="H35" s="83"/>
      <c r="I35" s="12"/>
      <c r="J35" s="25"/>
    </row>
    <row r="36" spans="2:10" ht="12.75">
      <c r="B36" s="12" t="s">
        <v>242</v>
      </c>
      <c r="C36" s="12"/>
      <c r="D36" s="51"/>
      <c r="E36" s="12"/>
      <c r="F36" s="13"/>
      <c r="G36" s="12"/>
      <c r="H36" s="83"/>
      <c r="I36" s="12"/>
      <c r="J36" s="26">
        <f>SUM(J37:J39)</f>
        <v>0</v>
      </c>
    </row>
    <row r="37" spans="2:10" ht="12.75">
      <c r="B37" s="39" t="s">
        <v>2</v>
      </c>
      <c r="C37" s="12"/>
      <c r="D37" s="213"/>
      <c r="E37" s="12"/>
      <c r="F37" s="24"/>
      <c r="G37" s="12"/>
      <c r="H37" s="216"/>
      <c r="I37" s="12"/>
      <c r="J37" s="25">
        <f>D37*H37</f>
        <v>0</v>
      </c>
    </row>
    <row r="38" spans="2:10" ht="12.75">
      <c r="B38" s="39" t="s">
        <v>194</v>
      </c>
      <c r="C38" s="12"/>
      <c r="D38" s="50"/>
      <c r="E38" s="12"/>
      <c r="F38" s="24"/>
      <c r="G38" s="12"/>
      <c r="H38" s="216"/>
      <c r="I38" s="12"/>
      <c r="J38" s="25">
        <f>D38*H38</f>
        <v>0</v>
      </c>
    </row>
    <row r="39" spans="2:10" ht="12.75">
      <c r="B39" s="39"/>
      <c r="C39" s="12"/>
      <c r="D39" s="182"/>
      <c r="E39" s="12"/>
      <c r="F39" s="24"/>
      <c r="G39" s="12"/>
      <c r="H39" s="52"/>
      <c r="I39" s="12"/>
      <c r="J39" s="25">
        <f>D39*H39</f>
        <v>0</v>
      </c>
    </row>
    <row r="40" spans="2:10" ht="4.5" customHeight="1">
      <c r="B40" s="12"/>
      <c r="C40" s="12"/>
      <c r="D40" s="51"/>
      <c r="E40" s="12"/>
      <c r="F40" s="13"/>
      <c r="G40" s="12"/>
      <c r="H40" s="51"/>
      <c r="I40" s="12"/>
      <c r="J40" s="25"/>
    </row>
    <row r="41" spans="2:10" ht="14.25">
      <c r="B41" s="12" t="s">
        <v>3</v>
      </c>
      <c r="C41" s="12"/>
      <c r="D41" s="51"/>
      <c r="E41" s="12"/>
      <c r="F41" s="13"/>
      <c r="G41" s="12"/>
      <c r="H41" s="51"/>
      <c r="I41" s="12"/>
      <c r="J41" s="25">
        <f>(J15+J19+J25+J32+J36)*0.05</f>
        <v>2.657648571428572</v>
      </c>
    </row>
    <row r="42" spans="2:10" ht="14.25">
      <c r="B42" s="12" t="s">
        <v>4</v>
      </c>
      <c r="C42" s="12"/>
      <c r="D42" s="51"/>
      <c r="E42" s="12"/>
      <c r="F42" s="13"/>
      <c r="G42" s="12"/>
      <c r="H42" s="51"/>
      <c r="I42" s="12"/>
      <c r="J42" s="25">
        <f>+(J15+J19+J25+J32+J36)*operloan*(7/12)</f>
        <v>2.3254425000000003</v>
      </c>
    </row>
    <row r="43" spans="2:10" ht="5.25" customHeight="1">
      <c r="B43" s="12"/>
      <c r="C43" s="12"/>
      <c r="D43" s="51"/>
      <c r="E43" s="12"/>
      <c r="F43" s="13"/>
      <c r="G43" s="12"/>
      <c r="H43" s="51"/>
      <c r="I43" s="12"/>
      <c r="J43" s="25"/>
    </row>
    <row r="44" spans="2:10" ht="12.75">
      <c r="B44" s="60" t="s">
        <v>203</v>
      </c>
      <c r="C44" s="60"/>
      <c r="D44" s="80"/>
      <c r="E44" s="60"/>
      <c r="F44" s="61"/>
      <c r="G44" s="60"/>
      <c r="H44" s="80"/>
      <c r="I44" s="60"/>
      <c r="J44" s="181">
        <f>SUM(J15:J42)-(J15+J19+J25+J32+J36)</f>
        <v>58.136062499999994</v>
      </c>
    </row>
    <row r="45" spans="2:10" ht="5.25" customHeight="1">
      <c r="B45" s="12"/>
      <c r="C45" s="12"/>
      <c r="D45" s="51"/>
      <c r="E45" s="12"/>
      <c r="F45" s="13"/>
      <c r="G45" s="12"/>
      <c r="H45" s="51"/>
      <c r="I45" s="12"/>
      <c r="J45" s="25"/>
    </row>
    <row r="46" spans="2:10" ht="12.75">
      <c r="B46" s="11" t="s">
        <v>71</v>
      </c>
      <c r="C46" s="12"/>
      <c r="D46" s="51"/>
      <c r="E46" s="12"/>
      <c r="F46" s="13"/>
      <c r="G46" s="12"/>
      <c r="H46" s="51"/>
      <c r="I46" s="12"/>
      <c r="J46" s="25"/>
    </row>
    <row r="47" spans="2:10" ht="12.75">
      <c r="B47" s="49" t="s">
        <v>119</v>
      </c>
      <c r="C47" s="12"/>
      <c r="D47" s="92"/>
      <c r="E47" s="12"/>
      <c r="F47" s="13"/>
      <c r="G47" s="12"/>
      <c r="H47" s="51"/>
      <c r="I47" s="12"/>
      <c r="J47" s="353">
        <f>'Machine Costs'!$D$42</f>
        <v>3.0428571428571427</v>
      </c>
    </row>
    <row r="48" spans="2:10" ht="12.75">
      <c r="B48" s="23" t="s">
        <v>120</v>
      </c>
      <c r="C48" s="12"/>
      <c r="D48" s="92"/>
      <c r="E48" s="12"/>
      <c r="F48" s="13"/>
      <c r="G48" s="12"/>
      <c r="H48" s="51"/>
      <c r="I48" s="12"/>
      <c r="J48" s="353">
        <f>'Machine Costs'!$E$42</f>
        <v>2.937142857142857</v>
      </c>
    </row>
    <row r="49" spans="2:10" ht="12.75">
      <c r="B49" s="23" t="s">
        <v>63</v>
      </c>
      <c r="C49" s="12"/>
      <c r="E49" s="12"/>
      <c r="F49" s="13"/>
      <c r="G49" s="12"/>
      <c r="H49" s="51"/>
      <c r="I49" s="12"/>
      <c r="J49" s="353">
        <f>'Machine Costs'!$F$42</f>
        <v>0.5734285714285715</v>
      </c>
    </row>
    <row r="50" spans="2:10" ht="12.75">
      <c r="B50" s="199"/>
      <c r="C50" s="12"/>
      <c r="D50" s="92"/>
      <c r="E50" s="12"/>
      <c r="F50" s="13"/>
      <c r="G50" s="12"/>
      <c r="H50" s="51"/>
      <c r="I50" s="12"/>
      <c r="J50" s="25"/>
    </row>
    <row r="51" spans="2:10" ht="12.75">
      <c r="B51" s="63" t="s">
        <v>260</v>
      </c>
      <c r="C51" s="12"/>
      <c r="D51" s="125"/>
      <c r="E51" s="12"/>
      <c r="F51" s="13"/>
      <c r="G51" s="12"/>
      <c r="H51" s="51"/>
      <c r="I51" s="12"/>
      <c r="J51" s="354">
        <f>LandTax</f>
        <v>3.9</v>
      </c>
    </row>
    <row r="52" spans="2:10" ht="5.25" customHeight="1">
      <c r="B52" s="12"/>
      <c r="C52" s="12"/>
      <c r="D52" s="51"/>
      <c r="E52" s="12"/>
      <c r="F52" s="13"/>
      <c r="G52" s="12"/>
      <c r="H52" s="51"/>
      <c r="I52" s="12"/>
      <c r="J52" s="25"/>
    </row>
    <row r="53" spans="1:33" s="54" customFormat="1" ht="12.75">
      <c r="A53" s="53"/>
      <c r="B53" s="64" t="s">
        <v>72</v>
      </c>
      <c r="C53" s="64"/>
      <c r="D53" s="81"/>
      <c r="E53" s="64"/>
      <c r="F53" s="65"/>
      <c r="G53" s="64"/>
      <c r="H53" s="81"/>
      <c r="I53" s="64"/>
      <c r="J53" s="66">
        <f>SUM(J47:J51)</f>
        <v>10.45342857142857</v>
      </c>
      <c r="L53" s="53"/>
      <c r="M53" s="53"/>
      <c r="N53" s="53"/>
      <c r="O53" s="53"/>
      <c r="P53" s="53"/>
      <c r="Q53" s="53"/>
      <c r="R53" s="53"/>
      <c r="S53" s="53"/>
      <c r="T53" s="53"/>
      <c r="U53" s="53"/>
      <c r="V53" s="53"/>
      <c r="W53" s="53"/>
      <c r="X53" s="53"/>
      <c r="Y53" s="53"/>
      <c r="Z53" s="53"/>
      <c r="AA53" s="53"/>
      <c r="AB53" s="53"/>
      <c r="AC53" s="53"/>
      <c r="AD53" s="53"/>
      <c r="AE53" s="53"/>
      <c r="AF53" s="53"/>
      <c r="AG53" s="53"/>
    </row>
    <row r="54" spans="2:10" ht="12.75">
      <c r="B54" s="12"/>
      <c r="C54" s="12"/>
      <c r="D54" s="51"/>
      <c r="E54" s="12"/>
      <c r="F54" s="13"/>
      <c r="G54" s="12"/>
      <c r="H54" s="51"/>
      <c r="I54" s="12"/>
      <c r="J54" s="25"/>
    </row>
    <row r="55" spans="1:33" s="54" customFormat="1" ht="12.75">
      <c r="A55" s="53"/>
      <c r="B55" s="64" t="s">
        <v>318</v>
      </c>
      <c r="C55" s="64"/>
      <c r="D55" s="81"/>
      <c r="E55" s="64"/>
      <c r="F55" s="65"/>
      <c r="G55" s="64"/>
      <c r="H55" s="81"/>
      <c r="I55" s="64"/>
      <c r="J55" s="66">
        <f>J44+J53</f>
        <v>68.58949107142857</v>
      </c>
      <c r="L55" s="53"/>
      <c r="M55" s="53"/>
      <c r="N55" s="53"/>
      <c r="O55" s="53"/>
      <c r="P55" s="53"/>
      <c r="Q55" s="53"/>
      <c r="R55" s="53"/>
      <c r="S55" s="53"/>
      <c r="T55" s="53"/>
      <c r="U55" s="53"/>
      <c r="V55" s="53"/>
      <c r="W55" s="53"/>
      <c r="X55" s="53"/>
      <c r="Y55" s="53"/>
      <c r="Z55" s="53"/>
      <c r="AA55" s="53"/>
      <c r="AB55" s="53"/>
      <c r="AC55" s="53"/>
      <c r="AD55" s="53"/>
      <c r="AE55" s="53"/>
      <c r="AF55" s="53"/>
      <c r="AG55" s="53"/>
    </row>
    <row r="56" spans="2:11" ht="12.75">
      <c r="B56" s="8"/>
      <c r="C56" s="8"/>
      <c r="D56" s="7"/>
      <c r="E56" s="8"/>
      <c r="F56" s="9"/>
      <c r="G56" s="8"/>
      <c r="H56" s="7"/>
      <c r="I56" s="8"/>
      <c r="J56" s="10"/>
      <c r="K56" s="1"/>
    </row>
    <row r="57" spans="2:11" ht="12.75">
      <c r="B57" s="55" t="s">
        <v>327</v>
      </c>
      <c r="C57" s="55"/>
      <c r="D57" s="82"/>
      <c r="E57" s="55"/>
      <c r="F57" s="67"/>
      <c r="G57" s="55"/>
      <c r="H57" s="82"/>
      <c r="I57" s="55"/>
      <c r="J57" s="55"/>
      <c r="K57" s="55"/>
    </row>
    <row r="58" spans="2:11" ht="15" customHeight="1">
      <c r="B58" s="214" t="s">
        <v>9</v>
      </c>
      <c r="C58" s="55"/>
      <c r="D58" s="82"/>
      <c r="E58" s="55"/>
      <c r="F58" s="67"/>
      <c r="G58" s="55"/>
      <c r="H58" s="82"/>
      <c r="I58" s="55"/>
      <c r="J58" s="55"/>
      <c r="K58" s="55"/>
    </row>
    <row r="59" spans="2:11" ht="15" customHeight="1">
      <c r="B59" s="214" t="s">
        <v>20</v>
      </c>
      <c r="C59" s="55"/>
      <c r="D59" s="82"/>
      <c r="E59" s="55"/>
      <c r="F59" s="67"/>
      <c r="G59" s="55"/>
      <c r="H59" s="82"/>
      <c r="I59" s="55"/>
      <c r="J59" s="55"/>
      <c r="K59" s="55"/>
    </row>
    <row r="60" spans="2:11" ht="15" customHeight="1">
      <c r="B60" s="46" t="s">
        <v>0</v>
      </c>
      <c r="C60" s="46"/>
      <c r="D60" s="77"/>
      <c r="E60" s="46"/>
      <c r="F60" s="47"/>
      <c r="G60" s="46"/>
      <c r="H60" s="77"/>
      <c r="I60" s="46"/>
      <c r="J60" s="46"/>
      <c r="K60" s="46"/>
    </row>
    <row r="61" spans="2:11" ht="15" customHeight="1">
      <c r="B61" s="46" t="s">
        <v>31</v>
      </c>
      <c r="C61" s="46"/>
      <c r="D61" s="77"/>
      <c r="E61" s="46"/>
      <c r="F61" s="47"/>
      <c r="G61" s="46"/>
      <c r="H61" s="77"/>
      <c r="I61" s="46"/>
      <c r="J61" s="46"/>
      <c r="K61" s="46"/>
    </row>
    <row r="62" spans="2:11" ht="15" customHeight="1">
      <c r="B62" s="355" t="s">
        <v>32</v>
      </c>
      <c r="C62" s="46"/>
      <c r="D62" s="77"/>
      <c r="E62" s="46"/>
      <c r="F62" s="47"/>
      <c r="G62" s="46"/>
      <c r="H62" s="77"/>
      <c r="I62" s="46"/>
      <c r="J62" s="46"/>
      <c r="K62" s="46"/>
    </row>
    <row r="63" spans="2:11" ht="12.75">
      <c r="B63" s="46"/>
      <c r="C63" s="46"/>
      <c r="D63" s="77"/>
      <c r="E63" s="46"/>
      <c r="F63" s="47"/>
      <c r="G63" s="46"/>
      <c r="H63" s="77"/>
      <c r="I63" s="46"/>
      <c r="J63" s="46"/>
      <c r="K63" s="46"/>
    </row>
    <row r="64" spans="2:11" ht="12.75">
      <c r="B64" s="46"/>
      <c r="C64" s="46"/>
      <c r="D64" s="77"/>
      <c r="E64" s="46"/>
      <c r="F64" s="47"/>
      <c r="G64" s="46"/>
      <c r="H64" s="77"/>
      <c r="I64" s="46"/>
      <c r="J64" s="46"/>
      <c r="K64" s="46"/>
    </row>
    <row r="65" spans="2:11" ht="12.75">
      <c r="B65" s="46"/>
      <c r="C65" s="46"/>
      <c r="D65" s="77"/>
      <c r="E65" s="46"/>
      <c r="F65" s="47"/>
      <c r="G65" s="46"/>
      <c r="H65" s="77"/>
      <c r="I65" s="46"/>
      <c r="J65" s="46"/>
      <c r="K65" s="46"/>
    </row>
    <row r="66" spans="2:11" ht="12.75">
      <c r="B66" s="46"/>
      <c r="C66" s="46"/>
      <c r="D66" s="77"/>
      <c r="E66" s="46"/>
      <c r="F66" s="47"/>
      <c r="G66" s="46"/>
      <c r="H66" s="77"/>
      <c r="I66" s="46"/>
      <c r="J66" s="46"/>
      <c r="K66" s="46"/>
    </row>
    <row r="67" spans="2:11" ht="12.75">
      <c r="B67" s="46"/>
      <c r="C67" s="46"/>
      <c r="D67" s="77"/>
      <c r="E67" s="46"/>
      <c r="F67" s="47"/>
      <c r="G67" s="46"/>
      <c r="H67" s="77"/>
      <c r="I67" s="46"/>
      <c r="J67" s="46"/>
      <c r="K67" s="46"/>
    </row>
    <row r="68" spans="2:11" ht="12.75">
      <c r="B68" s="46"/>
      <c r="C68" s="46"/>
      <c r="D68" s="77"/>
      <c r="E68" s="46"/>
      <c r="F68" s="47"/>
      <c r="G68" s="46"/>
      <c r="H68" s="77"/>
      <c r="I68" s="46"/>
      <c r="J68" s="46"/>
      <c r="K68" s="46"/>
    </row>
    <row r="69" spans="2:11" ht="12.75">
      <c r="B69" s="46"/>
      <c r="C69" s="46"/>
      <c r="D69" s="77"/>
      <c r="E69" s="46"/>
      <c r="F69" s="47"/>
      <c r="G69" s="46"/>
      <c r="H69" s="77"/>
      <c r="I69" s="46"/>
      <c r="J69" s="46"/>
      <c r="K69" s="46"/>
    </row>
    <row r="70" spans="2:11" ht="12.75">
      <c r="B70" s="46"/>
      <c r="C70" s="46"/>
      <c r="D70" s="77"/>
      <c r="E70" s="46"/>
      <c r="F70" s="47"/>
      <c r="G70" s="46"/>
      <c r="H70" s="77"/>
      <c r="I70" s="46"/>
      <c r="J70" s="46"/>
      <c r="K70" s="46"/>
    </row>
    <row r="71" spans="2:11" ht="12.75">
      <c r="B71" s="46"/>
      <c r="C71" s="46"/>
      <c r="D71" s="77"/>
      <c r="E71" s="46"/>
      <c r="F71" s="47"/>
      <c r="G71" s="46"/>
      <c r="H71" s="77"/>
      <c r="I71" s="46"/>
      <c r="J71" s="46"/>
      <c r="K71" s="46"/>
    </row>
    <row r="72" spans="2:11" ht="12.75">
      <c r="B72" s="46"/>
      <c r="C72" s="46"/>
      <c r="D72" s="77"/>
      <c r="E72" s="46"/>
      <c r="F72" s="47"/>
      <c r="G72" s="46"/>
      <c r="H72" s="77"/>
      <c r="I72" s="46"/>
      <c r="J72" s="46"/>
      <c r="K72" s="46"/>
    </row>
    <row r="73" spans="2:11" ht="12.75">
      <c r="B73" s="46"/>
      <c r="C73" s="46"/>
      <c r="D73" s="77"/>
      <c r="E73" s="46"/>
      <c r="F73" s="47"/>
      <c r="G73" s="46"/>
      <c r="H73" s="77"/>
      <c r="I73" s="46"/>
      <c r="J73" s="46"/>
      <c r="K73" s="46"/>
    </row>
    <row r="74" spans="2:11" ht="12.75">
      <c r="B74" s="46"/>
      <c r="C74" s="46"/>
      <c r="D74" s="77"/>
      <c r="E74" s="46"/>
      <c r="F74" s="47"/>
      <c r="G74" s="46"/>
      <c r="H74" s="77"/>
      <c r="I74" s="46"/>
      <c r="J74" s="46"/>
      <c r="K74" s="46"/>
    </row>
    <row r="75" spans="2:11" ht="12.75">
      <c r="B75" s="46"/>
      <c r="C75" s="46"/>
      <c r="D75" s="77"/>
      <c r="E75" s="46"/>
      <c r="F75" s="47"/>
      <c r="G75" s="46"/>
      <c r="H75" s="77"/>
      <c r="I75" s="46"/>
      <c r="J75" s="46"/>
      <c r="K75" s="46"/>
    </row>
    <row r="76" spans="2:11" ht="12.75">
      <c r="B76" s="46"/>
      <c r="C76" s="46"/>
      <c r="D76" s="77"/>
      <c r="E76" s="46"/>
      <c r="F76" s="47"/>
      <c r="G76" s="46"/>
      <c r="H76" s="77"/>
      <c r="I76" s="46"/>
      <c r="J76" s="46"/>
      <c r="K76" s="46"/>
    </row>
    <row r="77" spans="2:11" ht="12.75">
      <c r="B77" s="46"/>
      <c r="C77" s="46"/>
      <c r="D77" s="77"/>
      <c r="E77" s="46"/>
      <c r="F77" s="47"/>
      <c r="G77" s="46"/>
      <c r="H77" s="77"/>
      <c r="I77" s="46"/>
      <c r="J77" s="46"/>
      <c r="K77" s="46"/>
    </row>
    <row r="78" spans="2:11" ht="12.75">
      <c r="B78" s="46"/>
      <c r="C78" s="46"/>
      <c r="D78" s="77"/>
      <c r="E78" s="46"/>
      <c r="F78" s="47"/>
      <c r="G78" s="46"/>
      <c r="H78" s="77"/>
      <c r="I78" s="46"/>
      <c r="J78" s="46"/>
      <c r="K78" s="46"/>
    </row>
    <row r="79" spans="2:11" ht="12.75">
      <c r="B79" s="46"/>
      <c r="C79" s="46"/>
      <c r="D79" s="77"/>
      <c r="E79" s="46"/>
      <c r="F79" s="47"/>
      <c r="G79" s="46"/>
      <c r="H79" s="77"/>
      <c r="I79" s="46"/>
      <c r="J79" s="46"/>
      <c r="K79" s="46"/>
    </row>
    <row r="80" spans="2:11" ht="12.75">
      <c r="B80" s="46"/>
      <c r="C80" s="46"/>
      <c r="D80" s="77"/>
      <c r="E80" s="46"/>
      <c r="F80" s="47"/>
      <c r="G80" s="46"/>
      <c r="H80" s="77"/>
      <c r="I80" s="46"/>
      <c r="J80" s="46"/>
      <c r="K80" s="46"/>
    </row>
    <row r="81" spans="2:11" ht="12.75">
      <c r="B81" s="46"/>
      <c r="C81" s="46"/>
      <c r="D81" s="77"/>
      <c r="E81" s="46"/>
      <c r="F81" s="47"/>
      <c r="G81" s="46"/>
      <c r="H81" s="77"/>
      <c r="I81" s="46"/>
      <c r="J81" s="46"/>
      <c r="K81" s="46"/>
    </row>
    <row r="82" spans="2:11" ht="12.75">
      <c r="B82" s="46"/>
      <c r="C82" s="46"/>
      <c r="D82" s="77"/>
      <c r="E82" s="46"/>
      <c r="F82" s="47"/>
      <c r="G82" s="46"/>
      <c r="H82" s="77"/>
      <c r="I82" s="46"/>
      <c r="J82" s="46"/>
      <c r="K82" s="46"/>
    </row>
    <row r="83" spans="2:11" ht="12.75">
      <c r="B83" s="46"/>
      <c r="C83" s="46"/>
      <c r="D83" s="77"/>
      <c r="E83" s="46"/>
      <c r="F83" s="47"/>
      <c r="G83" s="46"/>
      <c r="H83" s="77"/>
      <c r="I83" s="46"/>
      <c r="J83" s="46"/>
      <c r="K83" s="46"/>
    </row>
    <row r="84" spans="2:11" ht="12.75">
      <c r="B84" s="46"/>
      <c r="C84" s="46"/>
      <c r="D84" s="77"/>
      <c r="E84" s="46"/>
      <c r="F84" s="47"/>
      <c r="G84" s="46"/>
      <c r="H84" s="77"/>
      <c r="I84" s="46"/>
      <c r="J84" s="46"/>
      <c r="K84" s="46"/>
    </row>
    <row r="85" spans="2:11" ht="12.75">
      <c r="B85" s="46"/>
      <c r="C85" s="46"/>
      <c r="D85" s="77"/>
      <c r="E85" s="46"/>
      <c r="F85" s="47"/>
      <c r="G85" s="46"/>
      <c r="H85" s="77"/>
      <c r="I85" s="46"/>
      <c r="J85" s="46"/>
      <c r="K85" s="46"/>
    </row>
    <row r="86" spans="2:11" ht="12.75">
      <c r="B86" s="46"/>
      <c r="C86" s="46"/>
      <c r="D86" s="77"/>
      <c r="E86" s="46"/>
      <c r="F86" s="47"/>
      <c r="G86" s="46"/>
      <c r="H86" s="77"/>
      <c r="I86" s="46"/>
      <c r="J86" s="46"/>
      <c r="K86" s="46"/>
    </row>
    <row r="87" spans="2:11" ht="12.75">
      <c r="B87" s="46"/>
      <c r="C87" s="46"/>
      <c r="D87" s="77"/>
      <c r="E87" s="46"/>
      <c r="F87" s="47"/>
      <c r="G87" s="46"/>
      <c r="H87" s="77"/>
      <c r="I87" s="46"/>
      <c r="J87" s="46"/>
      <c r="K87" s="46"/>
    </row>
    <row r="88" spans="2:11" ht="12.75">
      <c r="B88" s="46"/>
      <c r="C88" s="46"/>
      <c r="D88" s="77"/>
      <c r="E88" s="46"/>
      <c r="F88" s="47"/>
      <c r="G88" s="46"/>
      <c r="H88" s="77"/>
      <c r="I88" s="46"/>
      <c r="J88" s="46"/>
      <c r="K88" s="46"/>
    </row>
    <row r="89" spans="2:11" ht="12.75">
      <c r="B89" s="46"/>
      <c r="C89" s="46"/>
      <c r="D89" s="77"/>
      <c r="E89" s="46"/>
      <c r="F89" s="47"/>
      <c r="G89" s="46"/>
      <c r="H89" s="77"/>
      <c r="I89" s="46"/>
      <c r="J89" s="46"/>
      <c r="K89" s="46"/>
    </row>
    <row r="90" spans="2:11" ht="12.75">
      <c r="B90" s="46"/>
      <c r="C90" s="46"/>
      <c r="D90" s="77"/>
      <c r="E90" s="46"/>
      <c r="F90" s="47"/>
      <c r="G90" s="46"/>
      <c r="H90" s="77"/>
      <c r="I90" s="46"/>
      <c r="J90" s="46"/>
      <c r="K90" s="46"/>
    </row>
    <row r="91" spans="2:11" ht="12.75">
      <c r="B91" s="46"/>
      <c r="C91" s="46"/>
      <c r="D91" s="77"/>
      <c r="E91" s="46"/>
      <c r="F91" s="47"/>
      <c r="G91" s="46"/>
      <c r="H91" s="77"/>
      <c r="I91" s="46"/>
      <c r="J91" s="46"/>
      <c r="K91" s="46"/>
    </row>
    <row r="92" spans="2:11" ht="12.75">
      <c r="B92" s="46"/>
      <c r="C92" s="46"/>
      <c r="D92" s="77"/>
      <c r="E92" s="46"/>
      <c r="F92" s="47"/>
      <c r="G92" s="46"/>
      <c r="H92" s="77"/>
      <c r="I92" s="46"/>
      <c r="J92" s="46"/>
      <c r="K92" s="46"/>
    </row>
    <row r="93" spans="2:11" ht="12.75">
      <c r="B93" s="46"/>
      <c r="C93" s="46"/>
      <c r="D93" s="77"/>
      <c r="E93" s="46"/>
      <c r="F93" s="47"/>
      <c r="G93" s="46"/>
      <c r="H93" s="77"/>
      <c r="I93" s="46"/>
      <c r="J93" s="46"/>
      <c r="K93" s="46"/>
    </row>
    <row r="94" spans="2:11" ht="12.75">
      <c r="B94" s="46"/>
      <c r="C94" s="46"/>
      <c r="D94" s="77"/>
      <c r="E94" s="46"/>
      <c r="F94" s="47"/>
      <c r="G94" s="46"/>
      <c r="H94" s="77"/>
      <c r="I94" s="46"/>
      <c r="J94" s="46"/>
      <c r="K94" s="46"/>
    </row>
    <row r="95" spans="2:11" ht="12.75">
      <c r="B95" s="46"/>
      <c r="C95" s="46"/>
      <c r="D95" s="77"/>
      <c r="E95" s="46"/>
      <c r="F95" s="47"/>
      <c r="G95" s="46"/>
      <c r="H95" s="77"/>
      <c r="I95" s="46"/>
      <c r="J95" s="46"/>
      <c r="K95" s="46"/>
    </row>
    <row r="96" spans="2:11" ht="12.75">
      <c r="B96" s="46"/>
      <c r="C96" s="46"/>
      <c r="D96" s="77"/>
      <c r="E96" s="46"/>
      <c r="F96" s="47"/>
      <c r="G96" s="46"/>
      <c r="H96" s="77"/>
      <c r="I96" s="46"/>
      <c r="J96" s="46"/>
      <c r="K96" s="46"/>
    </row>
    <row r="97" spans="2:11" ht="12.75">
      <c r="B97" s="46"/>
      <c r="C97" s="46"/>
      <c r="D97" s="77"/>
      <c r="E97" s="46"/>
      <c r="F97" s="47"/>
      <c r="G97" s="46"/>
      <c r="H97" s="77"/>
      <c r="I97" s="46"/>
      <c r="J97" s="46"/>
      <c r="K97" s="46"/>
    </row>
    <row r="98" spans="2:11" ht="12.75">
      <c r="B98" s="46"/>
      <c r="C98" s="46"/>
      <c r="D98" s="77"/>
      <c r="E98" s="46"/>
      <c r="F98" s="47"/>
      <c r="G98" s="46"/>
      <c r="H98" s="77"/>
      <c r="I98" s="46"/>
      <c r="J98" s="46"/>
      <c r="K98" s="46"/>
    </row>
    <row r="99" spans="2:11" ht="12.75">
      <c r="B99" s="46"/>
      <c r="C99" s="46"/>
      <c r="D99" s="77"/>
      <c r="E99" s="46"/>
      <c r="F99" s="47"/>
      <c r="G99" s="46"/>
      <c r="H99" s="77"/>
      <c r="I99" s="46"/>
      <c r="J99" s="46"/>
      <c r="K99" s="46"/>
    </row>
    <row r="100" spans="2:11" ht="12.75">
      <c r="B100" s="46"/>
      <c r="C100" s="46"/>
      <c r="D100" s="77"/>
      <c r="E100" s="46"/>
      <c r="F100" s="47"/>
      <c r="G100" s="46"/>
      <c r="H100" s="77"/>
      <c r="I100" s="46"/>
      <c r="J100" s="46"/>
      <c r="K100" s="46"/>
    </row>
    <row r="101" spans="2:11" ht="12.75">
      <c r="B101" s="46"/>
      <c r="C101" s="46"/>
      <c r="D101" s="77"/>
      <c r="E101" s="46"/>
      <c r="F101" s="47"/>
      <c r="G101" s="46"/>
      <c r="H101" s="77"/>
      <c r="I101" s="46"/>
      <c r="J101" s="46"/>
      <c r="K101" s="46"/>
    </row>
    <row r="102" spans="2:11" ht="12.75">
      <c r="B102" s="46"/>
      <c r="C102" s="46"/>
      <c r="D102" s="77"/>
      <c r="E102" s="46"/>
      <c r="F102" s="47"/>
      <c r="G102" s="46"/>
      <c r="H102" s="77"/>
      <c r="I102" s="46"/>
      <c r="J102" s="46"/>
      <c r="K102" s="46"/>
    </row>
    <row r="103" spans="2:11" ht="12.75">
      <c r="B103" s="46"/>
      <c r="C103" s="46"/>
      <c r="D103" s="77"/>
      <c r="E103" s="46"/>
      <c r="F103" s="47"/>
      <c r="G103" s="46"/>
      <c r="H103" s="77"/>
      <c r="I103" s="46"/>
      <c r="J103" s="46"/>
      <c r="K103" s="46"/>
    </row>
    <row r="104" spans="2:11" ht="12.75">
      <c r="B104" s="46"/>
      <c r="C104" s="46"/>
      <c r="D104" s="77"/>
      <c r="E104" s="46"/>
      <c r="F104" s="47"/>
      <c r="G104" s="46"/>
      <c r="H104" s="77"/>
      <c r="I104" s="46"/>
      <c r="J104" s="46"/>
      <c r="K104" s="46"/>
    </row>
    <row r="105" spans="2:11" ht="12.75">
      <c r="B105" s="46"/>
      <c r="C105" s="46"/>
      <c r="D105" s="77"/>
      <c r="E105" s="46"/>
      <c r="F105" s="47"/>
      <c r="G105" s="46"/>
      <c r="H105" s="77"/>
      <c r="I105" s="46"/>
      <c r="J105" s="46"/>
      <c r="K105" s="46"/>
    </row>
    <row r="106" spans="2:11" ht="12.75">
      <c r="B106" s="46"/>
      <c r="C106" s="46"/>
      <c r="D106" s="77"/>
      <c r="E106" s="46"/>
      <c r="F106" s="47"/>
      <c r="G106" s="46"/>
      <c r="H106" s="77"/>
      <c r="I106" s="46"/>
      <c r="J106" s="46"/>
      <c r="K106" s="46"/>
    </row>
  </sheetData>
  <sheetProtection/>
  <mergeCells count="5">
    <mergeCell ref="B6:J6"/>
    <mergeCell ref="B2:J2"/>
    <mergeCell ref="B3:J3"/>
    <mergeCell ref="B4:J4"/>
    <mergeCell ref="B5:J5"/>
  </mergeCells>
  <hyperlinks>
    <hyperlink ref="B62" location="CFMC" display="Chemical Fallow Machinery Costs table."/>
  </hyperlinks>
  <printOptions horizontalCentered="1"/>
  <pageMargins left="0.75" right="0.75" top="1" bottom="1" header="0.5" footer="0.5"/>
  <pageSetup fitToHeight="1" fitToWidth="1" horizontalDpi="600" verticalDpi="600" orientation="portrait" r:id="rId1"/>
  <headerFooter alignWithMargins="0">
    <oddFooter>&amp;L&amp;A&amp;C&amp;F&amp;R&amp;D</oddFooter>
  </headerFooter>
  <ignoredErrors>
    <ignoredError sqref="J16:J53" emptyCellReference="1"/>
  </ignoredErrors>
</worksheet>
</file>

<file path=xl/worksheets/sheet7.xml><?xml version="1.0" encoding="utf-8"?>
<worksheet xmlns="http://schemas.openxmlformats.org/spreadsheetml/2006/main" xmlns:r="http://schemas.openxmlformats.org/officeDocument/2006/relationships">
  <sheetPr codeName="Sheet4"/>
  <dimension ref="A1:AA29"/>
  <sheetViews>
    <sheetView zoomScalePageLayoutView="0" workbookViewId="0" topLeftCell="A1">
      <selection activeCell="E24" sqref="E24"/>
    </sheetView>
  </sheetViews>
  <sheetFormatPr defaultColWidth="8.7109375" defaultRowHeight="12.75"/>
  <cols>
    <col min="1" max="1" width="4.28125" style="46" customWidth="1"/>
    <col min="2" max="2" width="11.00390625" style="0" customWidth="1"/>
    <col min="3" max="3" width="20.140625" style="0" customWidth="1"/>
    <col min="4" max="4" width="25.421875" style="0" customWidth="1"/>
    <col min="5" max="5" width="44.140625" style="0" customWidth="1"/>
    <col min="6" max="26" width="8.7109375" style="46" customWidth="1"/>
  </cols>
  <sheetData>
    <row r="1" spans="2:5" ht="12.75">
      <c r="B1" s="46"/>
      <c r="C1" s="46"/>
      <c r="D1" s="46"/>
      <c r="E1" s="46"/>
    </row>
    <row r="2" spans="2:5" ht="20.25" customHeight="1">
      <c r="B2" s="342" t="s">
        <v>261</v>
      </c>
      <c r="C2" s="358"/>
      <c r="D2" s="358"/>
      <c r="E2" s="358"/>
    </row>
    <row r="3" spans="2:5" ht="6" customHeight="1">
      <c r="B3" s="356"/>
      <c r="C3" s="357"/>
      <c r="D3" s="357"/>
      <c r="E3" s="357"/>
    </row>
    <row r="4" spans="2:5" ht="33.75" customHeight="1">
      <c r="B4" s="359" t="s">
        <v>222</v>
      </c>
      <c r="C4" s="359" t="s">
        <v>224</v>
      </c>
      <c r="D4" s="359" t="s">
        <v>226</v>
      </c>
      <c r="E4" s="359" t="s">
        <v>227</v>
      </c>
    </row>
    <row r="5" spans="1:26" s="19" customFormat="1" ht="25.5">
      <c r="A5" s="55"/>
      <c r="B5" s="163" t="s">
        <v>225</v>
      </c>
      <c r="C5" s="163" t="s">
        <v>232</v>
      </c>
      <c r="D5" s="163" t="s">
        <v>190</v>
      </c>
      <c r="E5" s="164" t="s">
        <v>262</v>
      </c>
      <c r="F5" s="55"/>
      <c r="G5" s="55"/>
      <c r="H5" s="55"/>
      <c r="I5" s="55"/>
      <c r="J5" s="55"/>
      <c r="K5" s="55"/>
      <c r="L5" s="55"/>
      <c r="M5" s="55"/>
      <c r="N5" s="55"/>
      <c r="O5" s="55"/>
      <c r="P5" s="55"/>
      <c r="Q5" s="55"/>
      <c r="R5" s="55"/>
      <c r="S5" s="55"/>
      <c r="T5" s="55"/>
      <c r="U5" s="55"/>
      <c r="V5" s="55"/>
      <c r="W5" s="55"/>
      <c r="X5" s="55"/>
      <c r="Y5" s="55"/>
      <c r="Z5" s="55"/>
    </row>
    <row r="6" spans="2:5" ht="12.75">
      <c r="B6" s="165"/>
      <c r="C6" s="165"/>
      <c r="D6" s="165"/>
      <c r="E6" s="165" t="s">
        <v>68</v>
      </c>
    </row>
    <row r="7" spans="2:5" ht="12.75">
      <c r="B7" s="166" t="s">
        <v>233</v>
      </c>
      <c r="C7" s="166" t="s">
        <v>232</v>
      </c>
      <c r="D7" s="166" t="s">
        <v>188</v>
      </c>
      <c r="E7" s="166" t="s">
        <v>67</v>
      </c>
    </row>
    <row r="8" spans="2:5" ht="12.75">
      <c r="B8" s="167"/>
      <c r="C8" s="167"/>
      <c r="D8" s="167"/>
      <c r="E8" s="167" t="s">
        <v>68</v>
      </c>
    </row>
    <row r="9" spans="2:5" ht="12.75">
      <c r="B9" s="168" t="s">
        <v>209</v>
      </c>
      <c r="C9" s="168" t="s">
        <v>232</v>
      </c>
      <c r="D9" s="168" t="s">
        <v>188</v>
      </c>
      <c r="E9" s="168" t="s">
        <v>67</v>
      </c>
    </row>
    <row r="10" s="46" customFormat="1" ht="12.75"/>
    <row r="11" s="46" customFormat="1" ht="12.75"/>
    <row r="12" spans="2:5" ht="12.75">
      <c r="B12" s="55"/>
      <c r="C12" s="55"/>
      <c r="D12" s="55"/>
      <c r="E12" s="55"/>
    </row>
    <row r="13" spans="2:5" ht="12.75">
      <c r="B13" s="55"/>
      <c r="C13" s="55"/>
      <c r="D13" s="55"/>
      <c r="E13" s="55"/>
    </row>
    <row r="14" spans="2:5" ht="12.75">
      <c r="B14" s="46"/>
      <c r="C14" s="46"/>
      <c r="D14" s="46"/>
      <c r="E14" s="46"/>
    </row>
    <row r="15" spans="2:5" ht="12.75">
      <c r="B15" s="46"/>
      <c r="C15" s="46"/>
      <c r="D15" s="46"/>
      <c r="E15" s="46"/>
    </row>
    <row r="16" spans="2:5" ht="12.75">
      <c r="B16" s="46"/>
      <c r="C16" s="46"/>
      <c r="D16" s="46"/>
      <c r="E16" s="46"/>
    </row>
    <row r="17" spans="2:5" ht="12.75">
      <c r="B17" s="46"/>
      <c r="C17" s="46"/>
      <c r="D17" s="46"/>
      <c r="E17" s="46"/>
    </row>
    <row r="18" spans="2:5" ht="15" customHeight="1">
      <c r="B18" s="46"/>
      <c r="C18" s="46"/>
      <c r="D18" s="46"/>
      <c r="E18" s="46"/>
    </row>
    <row r="19" spans="2:5" ht="12.75">
      <c r="B19" s="46"/>
      <c r="C19" s="46"/>
      <c r="D19" s="46"/>
      <c r="E19" s="46"/>
    </row>
    <row r="20" s="46" customFormat="1" ht="12.75">
      <c r="AA20"/>
    </row>
    <row r="21" s="46" customFormat="1" ht="12.75">
      <c r="AA21"/>
    </row>
    <row r="22" s="46" customFormat="1" ht="12.75">
      <c r="AA22"/>
    </row>
    <row r="23" s="46" customFormat="1" ht="12.75">
      <c r="AA23"/>
    </row>
    <row r="24" s="46" customFormat="1" ht="12.75">
      <c r="AA24"/>
    </row>
    <row r="25" s="46" customFormat="1" ht="12.75">
      <c r="AA25"/>
    </row>
    <row r="26" s="46" customFormat="1" ht="12.75">
      <c r="AA26"/>
    </row>
    <row r="27" s="46" customFormat="1" ht="12.75">
      <c r="AA27"/>
    </row>
    <row r="28" s="46" customFormat="1" ht="12.75">
      <c r="AA28"/>
    </row>
    <row r="29" s="46" customFormat="1" ht="12.75">
      <c r="AA29"/>
    </row>
    <row r="30" s="46" customFormat="1" ht="12.75"/>
    <row r="31" s="46" customFormat="1" ht="12.75"/>
    <row r="32" s="46" customFormat="1" ht="12.75"/>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sheetData>
  <sheetProtection/>
  <printOptions horizontalCentered="1"/>
  <pageMargins left="0.75" right="0.75" top="1" bottom="1" header="0.5" footer="0.5"/>
  <pageSetup horizontalDpi="600" verticalDpi="600" orientation="portrait" scale="83"/>
  <headerFooter alignWithMargins="0">
    <oddFooter>&amp;L&amp;A&amp;C&amp;F&amp;R&amp;D</oddFooter>
  </headerFooter>
</worksheet>
</file>

<file path=xl/worksheets/sheet8.xml><?xml version="1.0" encoding="utf-8"?>
<worksheet xmlns="http://schemas.openxmlformats.org/spreadsheetml/2006/main" xmlns:r="http://schemas.openxmlformats.org/officeDocument/2006/relationships">
  <sheetPr codeName="Sheet5"/>
  <dimension ref="A1:AG155"/>
  <sheetViews>
    <sheetView zoomScalePageLayoutView="0" workbookViewId="0" topLeftCell="A65">
      <selection activeCell="B84" sqref="B84:J84"/>
    </sheetView>
  </sheetViews>
  <sheetFormatPr defaultColWidth="8.7109375" defaultRowHeight="12.75"/>
  <cols>
    <col min="1" max="1" width="3.7109375" style="46" customWidth="1"/>
    <col min="2" max="2" width="26.7109375" style="0" customWidth="1"/>
    <col min="3" max="3" width="1.421875" style="0" customWidth="1"/>
    <col min="4" max="4" width="11.7109375" style="72" customWidth="1"/>
    <col min="5" max="5" width="1.1484375" style="0" customWidth="1"/>
    <col min="6" max="6" width="10.7109375" style="27" customWidth="1"/>
    <col min="7" max="7" width="1.421875" style="0" customWidth="1"/>
    <col min="8" max="8" width="10.7109375" style="72" customWidth="1"/>
    <col min="9" max="9" width="1.7109375" style="0" customWidth="1"/>
    <col min="10" max="10" width="16.7109375" style="39" customWidth="1"/>
    <col min="11" max="11" width="3.28125" style="0" hidden="1" customWidth="1"/>
    <col min="12" max="33" width="8.7109375" style="46" customWidth="1"/>
  </cols>
  <sheetData>
    <row r="1" spans="4:8" s="46" customFormat="1" ht="12.75">
      <c r="D1" s="77"/>
      <c r="E1" s="103"/>
      <c r="F1" s="104"/>
      <c r="G1" s="103"/>
      <c r="H1" s="105"/>
    </row>
    <row r="2" spans="2:10" s="46" customFormat="1" ht="18" customHeight="1">
      <c r="B2" s="413" t="s">
        <v>335</v>
      </c>
      <c r="C2" s="430"/>
      <c r="D2" s="430"/>
      <c r="E2" s="430"/>
      <c r="F2" s="430"/>
      <c r="G2" s="430"/>
      <c r="H2" s="430"/>
      <c r="I2" s="430"/>
      <c r="J2" s="431"/>
    </row>
    <row r="3" spans="2:10" s="46" customFormat="1" ht="12.75">
      <c r="B3" s="416" t="s">
        <v>314</v>
      </c>
      <c r="C3" s="432"/>
      <c r="D3" s="432"/>
      <c r="E3" s="432"/>
      <c r="F3" s="432"/>
      <c r="G3" s="432"/>
      <c r="H3" s="432"/>
      <c r="I3" s="432"/>
      <c r="J3" s="433"/>
    </row>
    <row r="4" spans="2:10" s="46" customFormat="1" ht="12.75">
      <c r="B4" s="419" t="s">
        <v>5</v>
      </c>
      <c r="C4" s="434"/>
      <c r="D4" s="434"/>
      <c r="E4" s="434"/>
      <c r="F4" s="434"/>
      <c r="G4" s="434"/>
      <c r="H4" s="434"/>
      <c r="I4" s="434"/>
      <c r="J4" s="435"/>
    </row>
    <row r="5" spans="2:10" s="46" customFormat="1" ht="12.75">
      <c r="B5" s="422" t="s">
        <v>316</v>
      </c>
      <c r="C5" s="436"/>
      <c r="D5" s="436"/>
      <c r="E5" s="436"/>
      <c r="F5" s="436"/>
      <c r="G5" s="436"/>
      <c r="H5" s="436"/>
      <c r="I5" s="436"/>
      <c r="J5" s="437"/>
    </row>
    <row r="6" spans="1:10" s="46" customFormat="1" ht="12.75">
      <c r="A6" s="155"/>
      <c r="B6" s="425" t="s">
        <v>334</v>
      </c>
      <c r="C6" s="428"/>
      <c r="D6" s="428"/>
      <c r="E6" s="428"/>
      <c r="F6" s="428"/>
      <c r="G6" s="428"/>
      <c r="H6" s="428"/>
      <c r="I6" s="428"/>
      <c r="J6" s="429"/>
    </row>
    <row r="7" spans="4:8" s="46" customFormat="1" ht="6" customHeight="1">
      <c r="D7" s="77"/>
      <c r="F7" s="47"/>
      <c r="H7" s="77"/>
    </row>
    <row r="8" spans="2:11" ht="23.25" customHeight="1">
      <c r="B8" s="444" t="s">
        <v>99</v>
      </c>
      <c r="C8" s="445"/>
      <c r="D8" s="445"/>
      <c r="E8" s="445"/>
      <c r="F8" s="445"/>
      <c r="G8" s="445"/>
      <c r="H8" s="445"/>
      <c r="I8" s="445"/>
      <c r="J8" s="445"/>
      <c r="K8" s="445"/>
    </row>
    <row r="9" spans="1:33" s="41" customFormat="1" ht="3.75" customHeight="1">
      <c r="A9" s="46"/>
      <c r="B9" s="345"/>
      <c r="C9" s="345"/>
      <c r="D9" s="346"/>
      <c r="E9" s="345"/>
      <c r="F9" s="347"/>
      <c r="G9" s="345"/>
      <c r="H9" s="346"/>
      <c r="I9" s="345"/>
      <c r="J9" s="345"/>
      <c r="K9" s="345"/>
      <c r="L9" s="46"/>
      <c r="M9" s="46"/>
      <c r="N9" s="46"/>
      <c r="O9" s="46"/>
      <c r="P9" s="46"/>
      <c r="Q9" s="46"/>
      <c r="R9" s="46"/>
      <c r="S9" s="46"/>
      <c r="T9" s="46"/>
      <c r="U9" s="46"/>
      <c r="V9" s="46"/>
      <c r="W9" s="46"/>
      <c r="X9" s="46"/>
      <c r="Y9" s="46"/>
      <c r="Z9" s="46"/>
      <c r="AA9" s="46"/>
      <c r="AB9" s="46"/>
      <c r="AC9" s="46"/>
      <c r="AD9" s="46"/>
      <c r="AE9" s="46"/>
      <c r="AF9" s="46"/>
      <c r="AG9" s="46"/>
    </row>
    <row r="10" spans="2:10" ht="15">
      <c r="B10" s="2"/>
      <c r="C10" s="2"/>
      <c r="D10" s="3" t="s">
        <v>364</v>
      </c>
      <c r="E10" s="3"/>
      <c r="F10" s="4"/>
      <c r="G10" s="3"/>
      <c r="H10" s="3" t="s">
        <v>365</v>
      </c>
      <c r="I10" s="3"/>
      <c r="J10" s="5" t="s">
        <v>366</v>
      </c>
    </row>
    <row r="11" spans="2:10" ht="15">
      <c r="B11" s="6" t="s">
        <v>367</v>
      </c>
      <c r="C11" s="2"/>
      <c r="D11" s="3" t="s">
        <v>368</v>
      </c>
      <c r="E11" s="3"/>
      <c r="F11" s="4" t="s">
        <v>369</v>
      </c>
      <c r="G11" s="3"/>
      <c r="H11" s="3" t="s">
        <v>321</v>
      </c>
      <c r="I11" s="3"/>
      <c r="J11" s="5" t="s">
        <v>236</v>
      </c>
    </row>
    <row r="12" spans="2:11" ht="5.25" customHeight="1">
      <c r="B12" s="7"/>
      <c r="C12" s="8"/>
      <c r="D12" s="7"/>
      <c r="E12" s="8"/>
      <c r="F12" s="9"/>
      <c r="G12" s="8"/>
      <c r="H12" s="7"/>
      <c r="I12" s="8"/>
      <c r="J12" s="10"/>
      <c r="K12" s="1"/>
    </row>
    <row r="13" spans="2:10" ht="12.75">
      <c r="B13" s="11" t="s">
        <v>237</v>
      </c>
      <c r="C13" s="12"/>
      <c r="D13" s="51"/>
      <c r="E13" s="12"/>
      <c r="F13" s="13"/>
      <c r="G13" s="12"/>
      <c r="H13" s="51"/>
      <c r="I13" s="12"/>
      <c r="J13" s="14"/>
    </row>
    <row r="14" spans="2:17" ht="12.75">
      <c r="B14" s="15" t="s">
        <v>90</v>
      </c>
      <c r="C14" s="16"/>
      <c r="D14" s="372">
        <f>+Summary!E13</f>
        <v>78</v>
      </c>
      <c r="E14" s="373"/>
      <c r="F14" s="224" t="s">
        <v>91</v>
      </c>
      <c r="G14" s="373"/>
      <c r="H14" s="374">
        <f>Summary!F13</f>
        <v>5.15</v>
      </c>
      <c r="I14" s="16"/>
      <c r="J14" s="18">
        <f>D14*H14</f>
        <v>401.70000000000005</v>
      </c>
      <c r="K14" s="19"/>
      <c r="M14" s="442"/>
      <c r="N14" s="442"/>
      <c r="O14" s="442"/>
      <c r="P14" s="442"/>
      <c r="Q14" s="442"/>
    </row>
    <row r="15" spans="2:18" ht="9" customHeight="1">
      <c r="B15" s="16"/>
      <c r="C15" s="16"/>
      <c r="D15" s="223"/>
      <c r="E15" s="373"/>
      <c r="F15" s="225"/>
      <c r="G15" s="373"/>
      <c r="H15" s="226"/>
      <c r="I15" s="16"/>
      <c r="J15" s="18"/>
      <c r="K15" s="19"/>
      <c r="M15" s="441"/>
      <c r="N15" s="441"/>
      <c r="O15" s="441"/>
      <c r="P15" s="441"/>
      <c r="Q15" s="441"/>
      <c r="R15" s="441"/>
    </row>
    <row r="16" spans="2:10" ht="12.75">
      <c r="B16" s="11" t="s">
        <v>30</v>
      </c>
      <c r="C16" s="12"/>
      <c r="D16" s="51"/>
      <c r="E16" s="12"/>
      <c r="F16" s="13"/>
      <c r="G16" s="12"/>
      <c r="H16" s="83"/>
      <c r="I16" s="12"/>
      <c r="J16" s="21"/>
    </row>
    <row r="17" spans="2:10" ht="4.5" customHeight="1">
      <c r="B17" s="12"/>
      <c r="C17" s="12"/>
      <c r="D17" s="51"/>
      <c r="E17" s="12"/>
      <c r="F17" s="13"/>
      <c r="G17" s="12"/>
      <c r="H17" s="83"/>
      <c r="I17" s="12"/>
      <c r="J17" s="21"/>
    </row>
    <row r="18" spans="2:10" ht="12.75">
      <c r="B18" s="12" t="s">
        <v>238</v>
      </c>
      <c r="C18" s="12"/>
      <c r="D18" s="51"/>
      <c r="E18" s="12"/>
      <c r="F18" s="13"/>
      <c r="G18" s="12"/>
      <c r="H18" s="83"/>
      <c r="I18" s="12"/>
      <c r="J18" s="22">
        <f>SUM(J19:J19)</f>
        <v>12</v>
      </c>
    </row>
    <row r="19" spans="2:10" ht="12.75">
      <c r="B19" s="23" t="s">
        <v>92</v>
      </c>
      <c r="C19" s="12"/>
      <c r="D19" s="360">
        <v>80</v>
      </c>
      <c r="E19" s="12"/>
      <c r="F19" s="24" t="s">
        <v>302</v>
      </c>
      <c r="G19" s="12"/>
      <c r="H19" s="361">
        <f>+WheatSeed</f>
        <v>0.15</v>
      </c>
      <c r="I19" s="12"/>
      <c r="J19" s="21">
        <f>D19*H19</f>
        <v>12</v>
      </c>
    </row>
    <row r="20" spans="2:10" ht="4.5" customHeight="1">
      <c r="B20" s="12"/>
      <c r="C20" s="12"/>
      <c r="D20" s="51"/>
      <c r="E20" s="12"/>
      <c r="F20" s="13"/>
      <c r="G20" s="12"/>
      <c r="H20" s="218"/>
      <c r="I20" s="12"/>
      <c r="J20" s="21"/>
    </row>
    <row r="21" spans="2:13" ht="12.75">
      <c r="B21" s="12" t="s">
        <v>239</v>
      </c>
      <c r="C21" s="12"/>
      <c r="D21" s="51"/>
      <c r="E21" s="12"/>
      <c r="F21" s="13"/>
      <c r="G21" s="12"/>
      <c r="H21" s="83"/>
      <c r="I21" s="12"/>
      <c r="J21" s="22">
        <f>SUM(J22:J25)</f>
        <v>62.81</v>
      </c>
      <c r="M21" s="48"/>
    </row>
    <row r="22" spans="2:10" ht="12.75">
      <c r="B22" s="23" t="s">
        <v>273</v>
      </c>
      <c r="C22" s="12"/>
      <c r="D22" s="360">
        <v>93</v>
      </c>
      <c r="E22" s="12"/>
      <c r="F22" s="24" t="s">
        <v>302</v>
      </c>
      <c r="G22" s="12"/>
      <c r="H22" s="361">
        <f>Nitrogen</f>
        <v>0.55</v>
      </c>
      <c r="I22" s="12"/>
      <c r="J22" s="25">
        <f>D22*H22</f>
        <v>51.150000000000006</v>
      </c>
    </row>
    <row r="23" spans="2:10" ht="12.75">
      <c r="B23" s="23" t="s">
        <v>274</v>
      </c>
      <c r="C23" s="12"/>
      <c r="D23" s="360">
        <v>8</v>
      </c>
      <c r="E23" s="12"/>
      <c r="F23" s="24" t="s">
        <v>302</v>
      </c>
      <c r="G23" s="12"/>
      <c r="H23" s="361">
        <f>Phosphorous</f>
        <v>1.17</v>
      </c>
      <c r="I23" s="12"/>
      <c r="J23" s="25">
        <f>D23*H23</f>
        <v>9.36</v>
      </c>
    </row>
    <row r="24" spans="2:10" ht="12.75">
      <c r="B24" s="23" t="s">
        <v>304</v>
      </c>
      <c r="C24" s="12"/>
      <c r="D24" s="360">
        <v>10</v>
      </c>
      <c r="E24" s="12">
        <v>5</v>
      </c>
      <c r="F24" s="24" t="s">
        <v>302</v>
      </c>
      <c r="G24" s="12"/>
      <c r="H24" s="361">
        <f>Sulfur</f>
        <v>0.23</v>
      </c>
      <c r="I24" s="12"/>
      <c r="J24" s="21">
        <f>D24*H24</f>
        <v>2.3000000000000003</v>
      </c>
    </row>
    <row r="25" spans="2:10" ht="12.75">
      <c r="B25" s="23"/>
      <c r="C25" s="12"/>
      <c r="D25" s="360"/>
      <c r="E25" s="12"/>
      <c r="F25" s="24"/>
      <c r="G25" s="12"/>
      <c r="H25" s="361"/>
      <c r="I25" s="12"/>
      <c r="J25" s="21">
        <f>D25*H25</f>
        <v>0</v>
      </c>
    </row>
    <row r="26" spans="2:10" ht="4.5" customHeight="1">
      <c r="B26" s="12"/>
      <c r="C26" s="12"/>
      <c r="D26" s="51"/>
      <c r="E26" s="12"/>
      <c r="F26" s="13"/>
      <c r="G26" s="12"/>
      <c r="H26" s="219"/>
      <c r="I26" s="12"/>
      <c r="J26" s="25"/>
    </row>
    <row r="27" spans="2:10" ht="12.75">
      <c r="B27" s="12" t="s">
        <v>240</v>
      </c>
      <c r="C27" s="12"/>
      <c r="D27" s="51"/>
      <c r="E27" s="12"/>
      <c r="F27" s="13"/>
      <c r="G27" s="12"/>
      <c r="H27" s="219"/>
      <c r="I27" s="12"/>
      <c r="J27" s="26">
        <f>SUM(J28:J30)</f>
        <v>9.14</v>
      </c>
    </row>
    <row r="28" spans="2:10" ht="12.75">
      <c r="B28" s="23" t="s">
        <v>229</v>
      </c>
      <c r="C28" s="12"/>
      <c r="D28" s="360">
        <v>20</v>
      </c>
      <c r="E28" s="12"/>
      <c r="F28" s="24" t="s">
        <v>235</v>
      </c>
      <c r="G28" s="12"/>
      <c r="H28" s="361">
        <f>+DPesticide</f>
        <v>0.16</v>
      </c>
      <c r="I28" s="12"/>
      <c r="J28" s="25">
        <f>D28*H28</f>
        <v>3.2</v>
      </c>
    </row>
    <row r="29" spans="2:10" ht="14.25">
      <c r="B29" s="243" t="s">
        <v>286</v>
      </c>
      <c r="C29" s="12"/>
      <c r="D29" s="360">
        <v>0.33</v>
      </c>
      <c r="E29" s="12"/>
      <c r="F29" s="24" t="s">
        <v>235</v>
      </c>
      <c r="G29" s="12"/>
      <c r="H29" s="361">
        <f>+Maverick</f>
        <v>18</v>
      </c>
      <c r="I29" s="12"/>
      <c r="J29" s="25">
        <f>D29*H29</f>
        <v>5.94</v>
      </c>
    </row>
    <row r="30" spans="2:10" ht="12.75">
      <c r="B30" s="23"/>
      <c r="C30" s="12"/>
      <c r="D30" s="360"/>
      <c r="E30" s="12"/>
      <c r="F30" s="24"/>
      <c r="G30" s="12"/>
      <c r="H30" s="361"/>
      <c r="I30" s="12"/>
      <c r="J30" s="25">
        <f>D30*H30</f>
        <v>0</v>
      </c>
    </row>
    <row r="31" spans="2:10" ht="5.25" customHeight="1">
      <c r="B31" s="12"/>
      <c r="C31" s="12"/>
      <c r="D31" s="78"/>
      <c r="E31" s="12"/>
      <c r="F31" s="13"/>
      <c r="G31" s="12"/>
      <c r="H31" s="219"/>
      <c r="I31" s="12"/>
      <c r="J31" s="25"/>
    </row>
    <row r="32" spans="2:10" ht="12.75">
      <c r="B32" s="12" t="s">
        <v>1</v>
      </c>
      <c r="C32" s="12"/>
      <c r="D32" s="85"/>
      <c r="E32" s="12"/>
      <c r="F32" s="13"/>
      <c r="G32" s="12"/>
      <c r="H32" s="219"/>
      <c r="I32" s="12"/>
      <c r="J32" s="26">
        <f>SUM(J33:J37)</f>
        <v>25.430421428571425</v>
      </c>
    </row>
    <row r="33" spans="2:10" ht="12.75">
      <c r="B33" s="23" t="s">
        <v>298</v>
      </c>
      <c r="C33" s="12"/>
      <c r="D33" s="362">
        <f>'Machine Costs'!$K$61</f>
        <v>3.3042</v>
      </c>
      <c r="E33" s="12"/>
      <c r="F33" s="24" t="s">
        <v>221</v>
      </c>
      <c r="G33" s="12"/>
      <c r="H33" s="361">
        <f>Diesel</f>
        <v>1.75</v>
      </c>
      <c r="I33" s="12"/>
      <c r="J33" s="25">
        <f>D33*H33</f>
        <v>5.782349999999999</v>
      </c>
    </row>
    <row r="34" spans="2:10" ht="12.75">
      <c r="B34" s="23" t="s">
        <v>220</v>
      </c>
      <c r="C34" s="12"/>
      <c r="D34" s="50">
        <v>1</v>
      </c>
      <c r="E34" s="12"/>
      <c r="F34" s="24" t="s">
        <v>303</v>
      </c>
      <c r="G34" s="12"/>
      <c r="H34" s="363">
        <f>'Machine Costs'!$L$61</f>
        <v>1.4295000000000002</v>
      </c>
      <c r="I34" s="12"/>
      <c r="J34" s="25">
        <f>D34*H34</f>
        <v>1.4295000000000002</v>
      </c>
    </row>
    <row r="35" spans="2:10" ht="12.75" customHeight="1">
      <c r="B35" s="39" t="s">
        <v>275</v>
      </c>
      <c r="C35" s="12"/>
      <c r="D35" s="196">
        <v>1</v>
      </c>
      <c r="E35" s="12"/>
      <c r="F35" s="197" t="s">
        <v>303</v>
      </c>
      <c r="G35" s="12"/>
      <c r="H35" s="363">
        <f>'Machine Costs'!$G$61</f>
        <v>5.7299999999999995</v>
      </c>
      <c r="I35" s="12"/>
      <c r="J35" s="25">
        <f>D35*H35</f>
        <v>5.7299999999999995</v>
      </c>
    </row>
    <row r="36" spans="2:10" ht="12.75">
      <c r="B36" s="39" t="s">
        <v>193</v>
      </c>
      <c r="C36" s="12"/>
      <c r="D36" s="362">
        <f>'Machine Costs'!$I$61</f>
        <v>0.6244285714285713</v>
      </c>
      <c r="E36" s="12"/>
      <c r="F36" s="24" t="s">
        <v>221</v>
      </c>
      <c r="G36" s="12"/>
      <c r="H36" s="361">
        <f>HourlyMachineLabor</f>
        <v>20</v>
      </c>
      <c r="I36" s="12"/>
      <c r="J36" s="25">
        <f>D36*H36</f>
        <v>12.488571428571426</v>
      </c>
    </row>
    <row r="37" spans="2:10" ht="12.75">
      <c r="B37" s="39"/>
      <c r="C37" s="12"/>
      <c r="D37" s="50"/>
      <c r="E37" s="12"/>
      <c r="F37" s="24"/>
      <c r="G37" s="12"/>
      <c r="H37" s="154"/>
      <c r="I37" s="12"/>
      <c r="J37" s="25">
        <f>D37*H37</f>
        <v>0</v>
      </c>
    </row>
    <row r="38" spans="2:10" ht="5.25" customHeight="1">
      <c r="B38" s="12"/>
      <c r="C38" s="12"/>
      <c r="D38" s="51"/>
      <c r="E38" s="12"/>
      <c r="F38" s="13"/>
      <c r="G38" s="12"/>
      <c r="H38" s="219"/>
      <c r="I38" s="12"/>
      <c r="J38" s="25"/>
    </row>
    <row r="39" spans="2:10" ht="12.75">
      <c r="B39" s="12" t="s">
        <v>241</v>
      </c>
      <c r="C39" s="12"/>
      <c r="D39" s="85"/>
      <c r="E39" s="12"/>
      <c r="F39" s="13"/>
      <c r="G39" s="12"/>
      <c r="H39" s="219"/>
      <c r="I39" s="12"/>
      <c r="J39" s="26">
        <f>SUM(J40:J42)</f>
        <v>4.5</v>
      </c>
    </row>
    <row r="40" spans="2:10" ht="12.75">
      <c r="B40" s="23" t="s">
        <v>268</v>
      </c>
      <c r="C40" s="12"/>
      <c r="D40" s="360">
        <v>2</v>
      </c>
      <c r="E40" s="12"/>
      <c r="F40" s="24" t="s">
        <v>303</v>
      </c>
      <c r="G40" s="12"/>
      <c r="H40" s="361">
        <f>+RentalSprayer</f>
        <v>1.75</v>
      </c>
      <c r="I40" s="12"/>
      <c r="J40" s="25">
        <f>D40*H40</f>
        <v>3.5</v>
      </c>
    </row>
    <row r="41" spans="2:10" ht="12.75">
      <c r="B41" s="23" t="s">
        <v>269</v>
      </c>
      <c r="C41" s="12"/>
      <c r="D41" s="360">
        <v>1</v>
      </c>
      <c r="E41" s="12"/>
      <c r="F41" s="24" t="s">
        <v>303</v>
      </c>
      <c r="G41" s="12"/>
      <c r="H41" s="361">
        <f>FertilizerApplicator</f>
        <v>1</v>
      </c>
      <c r="I41" s="12"/>
      <c r="J41" s="25">
        <f>D41*H41</f>
        <v>1</v>
      </c>
    </row>
    <row r="42" spans="2:10" ht="12.75">
      <c r="B42" s="23"/>
      <c r="C42" s="12"/>
      <c r="D42" s="360"/>
      <c r="E42" s="12"/>
      <c r="F42" s="24"/>
      <c r="G42" s="12"/>
      <c r="H42" s="361"/>
      <c r="I42" s="12"/>
      <c r="J42" s="25">
        <f>D42*H42</f>
        <v>0</v>
      </c>
    </row>
    <row r="43" spans="2:10" ht="5.25" customHeight="1">
      <c r="B43" s="12"/>
      <c r="C43" s="12"/>
      <c r="D43" s="51"/>
      <c r="E43" s="12"/>
      <c r="F43" s="13"/>
      <c r="G43" s="12"/>
      <c r="H43" s="219"/>
      <c r="I43" s="12"/>
      <c r="J43" s="25"/>
    </row>
    <row r="44" spans="2:10" ht="12.75">
      <c r="B44" s="12" t="s">
        <v>242</v>
      </c>
      <c r="C44" s="12"/>
      <c r="D44" s="51"/>
      <c r="E44" s="12"/>
      <c r="F44" s="13"/>
      <c r="G44" s="12"/>
      <c r="H44" s="219"/>
      <c r="I44" s="12"/>
      <c r="J44" s="26">
        <f>SUM(J45:J47)</f>
        <v>8.42</v>
      </c>
    </row>
    <row r="45" spans="2:10" ht="14.25">
      <c r="B45" s="247" t="s">
        <v>359</v>
      </c>
      <c r="C45" s="12"/>
      <c r="D45" s="50">
        <v>1</v>
      </c>
      <c r="E45" s="12"/>
      <c r="F45" s="24" t="s">
        <v>303</v>
      </c>
      <c r="G45" s="12"/>
      <c r="H45" s="364">
        <v>8.42</v>
      </c>
      <c r="I45" s="12"/>
      <c r="J45" s="25">
        <f>D45*H45</f>
        <v>8.42</v>
      </c>
    </row>
    <row r="46" spans="2:10" ht="12.75">
      <c r="B46" s="39" t="s">
        <v>2</v>
      </c>
      <c r="C46" s="12"/>
      <c r="D46" s="215"/>
      <c r="E46" s="12"/>
      <c r="F46" s="24"/>
      <c r="G46" s="12"/>
      <c r="H46" s="216"/>
      <c r="I46" s="12"/>
      <c r="J46" s="25">
        <f>D46*H46</f>
        <v>0</v>
      </c>
    </row>
    <row r="47" spans="2:10" ht="12.75">
      <c r="B47" s="39" t="s">
        <v>194</v>
      </c>
      <c r="C47" s="12"/>
      <c r="D47" s="50"/>
      <c r="E47" s="12"/>
      <c r="F47" s="24"/>
      <c r="G47" s="12"/>
      <c r="H47" s="154"/>
      <c r="I47" s="12"/>
      <c r="J47" s="25">
        <f>D47*H47</f>
        <v>0</v>
      </c>
    </row>
    <row r="48" spans="2:10" ht="4.5" customHeight="1">
      <c r="B48" s="12"/>
      <c r="C48" s="12"/>
      <c r="D48" s="78"/>
      <c r="E48" s="12"/>
      <c r="F48" s="194"/>
      <c r="G48" s="12"/>
      <c r="H48" s="195"/>
      <c r="I48" s="12"/>
      <c r="J48" s="25"/>
    </row>
    <row r="49" spans="2:10" ht="14.25">
      <c r="B49" s="246" t="s">
        <v>358</v>
      </c>
      <c r="C49" s="12"/>
      <c r="D49" s="51"/>
      <c r="E49" s="12"/>
      <c r="F49" s="13"/>
      <c r="G49" s="12"/>
      <c r="H49" s="51"/>
      <c r="I49" s="12"/>
      <c r="J49" s="25">
        <f>(J18+J21+J27+J32+J39+J44)*0.05</f>
        <v>6.115021071428572</v>
      </c>
    </row>
    <row r="50" spans="2:10" ht="14.25">
      <c r="B50" s="246" t="s">
        <v>357</v>
      </c>
      <c r="C50" s="12"/>
      <c r="D50" s="51"/>
      <c r="E50" s="12"/>
      <c r="F50" s="13"/>
      <c r="G50" s="12"/>
      <c r="H50" s="51"/>
      <c r="I50" s="12"/>
      <c r="J50" s="21">
        <f>+(J18+J21+J27+J32+J39+J44)*operloan*0.8</f>
        <v>7.338025285714285</v>
      </c>
    </row>
    <row r="51" spans="2:10" ht="5.25" customHeight="1">
      <c r="B51" s="12"/>
      <c r="C51" s="12"/>
      <c r="D51" s="51"/>
      <c r="E51" s="12"/>
      <c r="F51" s="13"/>
      <c r="G51" s="12"/>
      <c r="H51" s="51"/>
      <c r="I51" s="12"/>
      <c r="J51" s="25"/>
    </row>
    <row r="52" spans="2:10" ht="12.75">
      <c r="B52" s="64" t="s">
        <v>203</v>
      </c>
      <c r="C52" s="64"/>
      <c r="D52" s="81"/>
      <c r="E52" s="64"/>
      <c r="F52" s="65"/>
      <c r="G52" s="64"/>
      <c r="H52" s="81"/>
      <c r="I52" s="64"/>
      <c r="J52" s="66">
        <f>SUM(J18:J50)-(J18+J21+J27+J32+J39+J44)</f>
        <v>135.75346778571424</v>
      </c>
    </row>
    <row r="53" spans="2:10" ht="12.75">
      <c r="B53" s="12" t="s">
        <v>204</v>
      </c>
      <c r="C53" s="12"/>
      <c r="D53" s="51"/>
      <c r="E53" s="12"/>
      <c r="F53" s="13"/>
      <c r="G53" s="12"/>
      <c r="H53" s="51"/>
      <c r="I53" s="12"/>
      <c r="J53" s="25">
        <f>J52/D14</f>
        <v>1.7404290741758235</v>
      </c>
    </row>
    <row r="54" spans="2:10" ht="5.25" customHeight="1">
      <c r="B54" s="12"/>
      <c r="C54" s="12"/>
      <c r="D54" s="51"/>
      <c r="E54" s="12"/>
      <c r="F54" s="13"/>
      <c r="G54" s="12"/>
      <c r="H54" s="51"/>
      <c r="I54" s="12"/>
      <c r="J54" s="25"/>
    </row>
    <row r="55" spans="1:33" s="54" customFormat="1" ht="12.75">
      <c r="A55" s="53"/>
      <c r="B55" s="60" t="s">
        <v>70</v>
      </c>
      <c r="C55" s="60"/>
      <c r="D55" s="80"/>
      <c r="E55" s="60"/>
      <c r="F55" s="61"/>
      <c r="G55" s="60"/>
      <c r="H55" s="80"/>
      <c r="I55" s="60"/>
      <c r="J55" s="62">
        <f>J14-J52</f>
        <v>265.9465322142858</v>
      </c>
      <c r="L55" s="53"/>
      <c r="M55" s="53"/>
      <c r="N55" s="53"/>
      <c r="O55" s="53"/>
      <c r="P55" s="53"/>
      <c r="Q55" s="53"/>
      <c r="R55" s="53"/>
      <c r="S55" s="53"/>
      <c r="T55" s="53"/>
      <c r="U55" s="53"/>
      <c r="V55" s="53"/>
      <c r="W55" s="53"/>
      <c r="X55" s="53"/>
      <c r="Y55" s="53"/>
      <c r="Z55" s="53"/>
      <c r="AA55" s="53"/>
      <c r="AB55" s="53"/>
      <c r="AC55" s="53"/>
      <c r="AD55" s="53"/>
      <c r="AE55" s="53"/>
      <c r="AF55" s="53"/>
      <c r="AG55" s="53"/>
    </row>
    <row r="56" spans="2:10" ht="5.25" customHeight="1">
      <c r="B56" s="12"/>
      <c r="C56" s="12"/>
      <c r="D56" s="51"/>
      <c r="E56" s="12"/>
      <c r="F56" s="13"/>
      <c r="G56" s="12"/>
      <c r="H56" s="51"/>
      <c r="I56" s="12"/>
      <c r="J56" s="25"/>
    </row>
    <row r="57" spans="2:10" ht="14.25" customHeight="1">
      <c r="B57" s="11" t="s">
        <v>71</v>
      </c>
      <c r="C57" s="12"/>
      <c r="D57" s="51"/>
      <c r="E57" s="12"/>
      <c r="F57" s="13"/>
      <c r="G57" s="12"/>
      <c r="H57" s="51"/>
      <c r="I57" s="12"/>
      <c r="J57" s="25"/>
    </row>
    <row r="58" spans="2:10" ht="12.75">
      <c r="B58" s="446" t="s">
        <v>119</v>
      </c>
      <c r="C58" s="446"/>
      <c r="D58" s="446"/>
      <c r="E58" s="12"/>
      <c r="F58" s="13"/>
      <c r="G58" s="12"/>
      <c r="H58" s="51"/>
      <c r="I58" s="12"/>
      <c r="J58" s="365">
        <f>'Machine Costs'!$D$61</f>
        <v>9.242857142857144</v>
      </c>
    </row>
    <row r="59" spans="2:10" ht="12.75">
      <c r="B59" s="446" t="s">
        <v>120</v>
      </c>
      <c r="C59" s="446"/>
      <c r="D59" s="446"/>
      <c r="E59" s="12"/>
      <c r="F59" s="13"/>
      <c r="G59" s="12"/>
      <c r="H59" s="51"/>
      <c r="I59" s="12"/>
      <c r="J59" s="365">
        <f>'Machine Costs'!$E$61</f>
        <v>8.087142857142856</v>
      </c>
    </row>
    <row r="60" spans="2:10" ht="12.75">
      <c r="B60" s="446" t="s">
        <v>343</v>
      </c>
      <c r="C60" s="446"/>
      <c r="D60" s="446"/>
      <c r="E60" s="12"/>
      <c r="F60" s="13"/>
      <c r="G60" s="12"/>
      <c r="H60" s="51"/>
      <c r="I60" s="12"/>
      <c r="J60" s="365">
        <f>'Machine Costs'!$F$61</f>
        <v>2.0334285714285714</v>
      </c>
    </row>
    <row r="61" spans="2:10" ht="14.25">
      <c r="B61" s="447" t="s">
        <v>294</v>
      </c>
      <c r="C61" s="446"/>
      <c r="D61" s="446"/>
      <c r="E61" s="12"/>
      <c r="F61" s="13"/>
      <c r="G61" s="12"/>
      <c r="H61" s="51"/>
      <c r="I61" s="12"/>
      <c r="J61" s="220">
        <f>+'Chem Fallow'!J55*1.09</f>
        <v>74.76254526785715</v>
      </c>
    </row>
    <row r="62" spans="2:10" ht="12.75">
      <c r="B62" s="23" t="s">
        <v>212</v>
      </c>
      <c r="C62" s="12"/>
      <c r="D62" s="50">
        <v>1</v>
      </c>
      <c r="E62" s="12"/>
      <c r="F62" s="24" t="s">
        <v>303</v>
      </c>
      <c r="G62" s="12"/>
      <c r="H62" s="154">
        <f>(D14*H14)*D64-('Chem Fallow'!J15+'Chem Fallow'!J19+'Winter Wheat'!J21+'Winter Wheat'!J27+'Winter Wheat'!H45)*'Winter Wheat'!D64-'Winter Wheat'!J68</f>
        <v>91.8528</v>
      </c>
      <c r="I62" s="12"/>
      <c r="J62" s="366">
        <f>+H62</f>
        <v>91.8528</v>
      </c>
    </row>
    <row r="63" spans="2:10" ht="12.75" customHeight="1">
      <c r="B63" s="12" t="s">
        <v>213</v>
      </c>
      <c r="C63" s="12"/>
      <c r="D63" s="51"/>
      <c r="E63" s="12"/>
      <c r="F63" s="13"/>
      <c r="G63" s="12"/>
      <c r="H63" s="83"/>
      <c r="I63" s="12"/>
      <c r="J63" s="221"/>
    </row>
    <row r="64" spans="2:10" ht="12.75" customHeight="1">
      <c r="B64" s="12" t="s">
        <v>214</v>
      </c>
      <c r="C64" s="12"/>
      <c r="D64" s="367">
        <f>ownershare</f>
        <v>0.33</v>
      </c>
      <c r="E64" s="12"/>
      <c r="F64" s="13"/>
      <c r="G64" s="12"/>
      <c r="H64" s="83"/>
      <c r="I64" s="12"/>
      <c r="J64" s="221"/>
    </row>
    <row r="65" spans="2:10" ht="12.75" customHeight="1">
      <c r="B65" s="12" t="s">
        <v>215</v>
      </c>
      <c r="C65" s="12"/>
      <c r="D65" s="367">
        <f>opershare</f>
        <v>0.67</v>
      </c>
      <c r="E65" s="12"/>
      <c r="F65" s="13"/>
      <c r="G65" s="12"/>
      <c r="H65" s="83"/>
      <c r="I65" s="12"/>
      <c r="J65" s="221"/>
    </row>
    <row r="66" spans="2:10" ht="12.75">
      <c r="B66" s="68"/>
      <c r="C66" s="68"/>
      <c r="D66" s="86"/>
      <c r="E66" s="68"/>
      <c r="F66" s="86"/>
      <c r="G66" s="12"/>
      <c r="H66" s="51"/>
      <c r="I66" s="12"/>
      <c r="J66" s="221"/>
    </row>
    <row r="67" spans="2:10" ht="12.75">
      <c r="B67" s="63" t="s">
        <v>29</v>
      </c>
      <c r="C67" s="51"/>
      <c r="D67" s="51"/>
      <c r="E67" s="12"/>
      <c r="F67" s="13"/>
      <c r="G67" s="12"/>
      <c r="H67" s="51"/>
      <c r="I67" s="12"/>
      <c r="J67" s="368">
        <f>+cashrent</f>
        <v>0</v>
      </c>
    </row>
    <row r="68" spans="2:10" ht="12.75">
      <c r="B68" s="63" t="s">
        <v>260</v>
      </c>
      <c r="C68" s="51"/>
      <c r="D68" s="51"/>
      <c r="E68" s="12"/>
      <c r="F68" s="13"/>
      <c r="G68" s="12"/>
      <c r="H68" s="51"/>
      <c r="I68" s="12"/>
      <c r="J68" s="368">
        <f>LandTax</f>
        <v>3.9</v>
      </c>
    </row>
    <row r="69" spans="2:10" ht="5.25" customHeight="1">
      <c r="B69" s="12"/>
      <c r="C69" s="12"/>
      <c r="D69" s="51"/>
      <c r="E69" s="12"/>
      <c r="F69" s="13"/>
      <c r="G69" s="12"/>
      <c r="H69" s="51"/>
      <c r="I69" s="12"/>
      <c r="J69" s="25"/>
    </row>
    <row r="70" spans="2:10" ht="12.75">
      <c r="B70" s="64" t="s">
        <v>72</v>
      </c>
      <c r="C70" s="64"/>
      <c r="D70" s="81"/>
      <c r="E70" s="64"/>
      <c r="F70" s="65"/>
      <c r="G70" s="64"/>
      <c r="H70" s="81"/>
      <c r="I70" s="64"/>
      <c r="J70" s="66">
        <f>SUM(J57:J68)</f>
        <v>189.87877383928574</v>
      </c>
    </row>
    <row r="71" spans="2:10" ht="12.75">
      <c r="B71" s="12" t="s">
        <v>73</v>
      </c>
      <c r="C71" s="12"/>
      <c r="D71" s="51"/>
      <c r="E71" s="12"/>
      <c r="F71" s="13"/>
      <c r="G71" s="12"/>
      <c r="H71" s="51"/>
      <c r="I71" s="12"/>
      <c r="J71" s="25">
        <f>J70/D14</f>
        <v>2.4343432543498174</v>
      </c>
    </row>
    <row r="72" spans="2:10" ht="12.75">
      <c r="B72" s="12"/>
      <c r="C72" s="12"/>
      <c r="D72" s="51"/>
      <c r="E72" s="12"/>
      <c r="F72" s="13"/>
      <c r="G72" s="12"/>
      <c r="H72" s="51"/>
      <c r="I72" s="12"/>
      <c r="J72" s="25"/>
    </row>
    <row r="73" spans="2:10" ht="12.75">
      <c r="B73" s="64" t="s">
        <v>318</v>
      </c>
      <c r="C73" s="64"/>
      <c r="D73" s="81"/>
      <c r="E73" s="64"/>
      <c r="F73" s="65"/>
      <c r="G73" s="64"/>
      <c r="H73" s="81"/>
      <c r="I73" s="64"/>
      <c r="J73" s="66">
        <f>J52+J70</f>
        <v>325.632241625</v>
      </c>
    </row>
    <row r="74" spans="1:33" s="71" customFormat="1" ht="12.75">
      <c r="A74" s="73"/>
      <c r="B74" s="74" t="s">
        <v>319</v>
      </c>
      <c r="C74" s="74"/>
      <c r="D74" s="87"/>
      <c r="E74" s="74"/>
      <c r="F74" s="75"/>
      <c r="G74" s="74"/>
      <c r="H74" s="87"/>
      <c r="I74" s="74"/>
      <c r="J74" s="76">
        <f>J73/D14</f>
        <v>4.174772328525641</v>
      </c>
      <c r="L74" s="73"/>
      <c r="M74" s="73"/>
      <c r="N74" s="73"/>
      <c r="O74" s="73"/>
      <c r="P74" s="73"/>
      <c r="Q74" s="73"/>
      <c r="R74" s="73"/>
      <c r="S74" s="73"/>
      <c r="T74" s="73"/>
      <c r="U74" s="73"/>
      <c r="V74" s="73"/>
      <c r="W74" s="73"/>
      <c r="X74" s="73"/>
      <c r="Y74" s="73"/>
      <c r="Z74" s="73"/>
      <c r="AA74" s="73"/>
      <c r="AB74" s="73"/>
      <c r="AC74" s="73"/>
      <c r="AD74" s="73"/>
      <c r="AE74" s="73"/>
      <c r="AF74" s="73"/>
      <c r="AG74" s="73"/>
    </row>
    <row r="75" spans="2:10" ht="12.75">
      <c r="B75" s="12"/>
      <c r="C75" s="12"/>
      <c r="D75" s="51"/>
      <c r="E75" s="12"/>
      <c r="F75" s="13"/>
      <c r="G75" s="12"/>
      <c r="H75" s="51"/>
      <c r="I75" s="12"/>
      <c r="J75" s="25"/>
    </row>
    <row r="76" spans="1:33" s="54" customFormat="1" ht="12.75">
      <c r="A76" s="53"/>
      <c r="B76" s="64" t="s">
        <v>326</v>
      </c>
      <c r="C76" s="64"/>
      <c r="D76" s="81"/>
      <c r="E76" s="64"/>
      <c r="F76" s="65"/>
      <c r="G76" s="64"/>
      <c r="H76" s="81"/>
      <c r="I76" s="64"/>
      <c r="J76" s="66">
        <f>J14-J73</f>
        <v>76.06775837500004</v>
      </c>
      <c r="L76" s="53"/>
      <c r="M76" s="53"/>
      <c r="N76" s="53"/>
      <c r="O76" s="53"/>
      <c r="P76" s="53"/>
      <c r="Q76" s="53"/>
      <c r="R76" s="53"/>
      <c r="S76" s="53"/>
      <c r="T76" s="53"/>
      <c r="U76" s="53"/>
      <c r="V76" s="53"/>
      <c r="W76" s="53"/>
      <c r="X76" s="53"/>
      <c r="Y76" s="53"/>
      <c r="Z76" s="53"/>
      <c r="AA76" s="53"/>
      <c r="AB76" s="53"/>
      <c r="AC76" s="53"/>
      <c r="AD76" s="53"/>
      <c r="AE76" s="53"/>
      <c r="AF76" s="53"/>
      <c r="AG76" s="53"/>
    </row>
    <row r="77" spans="1:33" s="54" customFormat="1" ht="12.75">
      <c r="A77" s="53"/>
      <c r="B77" s="60"/>
      <c r="C77" s="60"/>
      <c r="D77" s="80"/>
      <c r="E77" s="60"/>
      <c r="F77" s="61"/>
      <c r="G77" s="60"/>
      <c r="H77" s="80"/>
      <c r="I77" s="60"/>
      <c r="J77" s="62"/>
      <c r="L77" s="53"/>
      <c r="M77" s="53"/>
      <c r="N77" s="53"/>
      <c r="O77" s="53"/>
      <c r="P77" s="53"/>
      <c r="Q77" s="53"/>
      <c r="R77" s="53"/>
      <c r="S77" s="53"/>
      <c r="T77" s="53"/>
      <c r="U77" s="53"/>
      <c r="V77" s="53"/>
      <c r="W77" s="53"/>
      <c r="X77" s="53"/>
      <c r="Y77" s="53"/>
      <c r="Z77" s="53"/>
      <c r="AA77" s="53"/>
      <c r="AB77" s="53"/>
      <c r="AC77" s="53"/>
      <c r="AD77" s="53"/>
      <c r="AE77" s="53"/>
      <c r="AF77" s="53"/>
      <c r="AG77" s="53"/>
    </row>
    <row r="78" spans="2:10" ht="15" customHeight="1">
      <c r="B78" s="438" t="s">
        <v>287</v>
      </c>
      <c r="C78" s="439"/>
      <c r="D78" s="439"/>
      <c r="E78" s="439"/>
      <c r="F78" s="439"/>
      <c r="G78" s="439"/>
      <c r="H78" s="439"/>
      <c r="I78" s="439"/>
      <c r="J78" s="439"/>
    </row>
    <row r="79" spans="2:10" ht="15" customHeight="1">
      <c r="B79" s="438" t="s">
        <v>288</v>
      </c>
      <c r="C79" s="439"/>
      <c r="D79" s="439"/>
      <c r="E79" s="439"/>
      <c r="F79" s="439"/>
      <c r="G79" s="439"/>
      <c r="H79" s="439"/>
      <c r="I79" s="439"/>
      <c r="J79" s="439"/>
    </row>
    <row r="80" spans="2:10" s="46" customFormat="1" ht="15" customHeight="1">
      <c r="B80" s="244" t="s">
        <v>290</v>
      </c>
      <c r="C80" s="55"/>
      <c r="D80" s="82"/>
      <c r="E80" s="55"/>
      <c r="F80" s="67"/>
      <c r="G80" s="55"/>
      <c r="H80" s="82"/>
      <c r="I80" s="55"/>
      <c r="J80" s="55"/>
    </row>
    <row r="81" spans="2:10" s="46" customFormat="1" ht="15" customHeight="1">
      <c r="B81" s="214" t="s">
        <v>289</v>
      </c>
      <c r="C81" s="55"/>
      <c r="D81" s="82"/>
      <c r="E81" s="55"/>
      <c r="F81" s="67"/>
      <c r="G81" s="55"/>
      <c r="H81" s="82"/>
      <c r="I81" s="55"/>
      <c r="J81" s="55"/>
    </row>
    <row r="82" spans="2:10" s="46" customFormat="1" ht="19.5" customHeight="1">
      <c r="B82" s="402" t="s">
        <v>293</v>
      </c>
      <c r="C82" s="55"/>
      <c r="D82" s="82"/>
      <c r="E82" s="55"/>
      <c r="F82" s="67"/>
      <c r="G82" s="55"/>
      <c r="H82" s="82"/>
      <c r="I82" s="55"/>
      <c r="J82" s="55"/>
    </row>
    <row r="83" spans="2:10" ht="15" customHeight="1">
      <c r="B83" s="443" t="s">
        <v>33</v>
      </c>
      <c r="C83" s="443"/>
      <c r="D83" s="443"/>
      <c r="E83" s="443"/>
      <c r="F83" s="443"/>
      <c r="G83" s="443"/>
      <c r="H83" s="443"/>
      <c r="I83" s="443"/>
      <c r="J83" s="443"/>
    </row>
    <row r="84" spans="2:10" ht="15" customHeight="1">
      <c r="B84" s="440" t="s">
        <v>34</v>
      </c>
      <c r="C84" s="440"/>
      <c r="D84" s="440"/>
      <c r="E84" s="440"/>
      <c r="F84" s="440"/>
      <c r="G84" s="440"/>
      <c r="H84" s="440"/>
      <c r="I84" s="440"/>
      <c r="J84" s="440"/>
    </row>
    <row r="85" spans="2:10" ht="12.75">
      <c r="B85" s="12"/>
      <c r="C85" s="12"/>
      <c r="D85" s="51"/>
      <c r="E85" s="12"/>
      <c r="F85" s="13"/>
      <c r="G85" s="12"/>
      <c r="H85" s="51"/>
      <c r="I85" s="12"/>
      <c r="J85" s="12"/>
    </row>
    <row r="86" spans="2:10" ht="12.75">
      <c r="B86" s="28" t="s">
        <v>328</v>
      </c>
      <c r="C86" s="12"/>
      <c r="D86" s="29" t="s">
        <v>329</v>
      </c>
      <c r="E86" s="12"/>
      <c r="F86" s="13"/>
      <c r="G86" s="12"/>
      <c r="H86" s="29" t="s">
        <v>331</v>
      </c>
      <c r="I86" s="12"/>
      <c r="J86" s="12"/>
    </row>
    <row r="87" spans="2:10" ht="12.75">
      <c r="B87" s="12"/>
      <c r="C87" s="12"/>
      <c r="D87" s="30">
        <v>0.1</v>
      </c>
      <c r="E87" s="12"/>
      <c r="F87" s="13" t="s">
        <v>330</v>
      </c>
      <c r="G87" s="12"/>
      <c r="H87" s="30">
        <v>0.1</v>
      </c>
      <c r="I87" s="12"/>
      <c r="J87" s="12"/>
    </row>
    <row r="88" spans="2:10" ht="12.75" customHeight="1">
      <c r="B88" s="12"/>
      <c r="C88" s="12"/>
      <c r="D88" s="31"/>
      <c r="E88" s="8"/>
      <c r="F88" s="7" t="s">
        <v>332</v>
      </c>
      <c r="G88" s="8"/>
      <c r="H88" s="31"/>
      <c r="I88" s="12"/>
      <c r="J88" s="12"/>
    </row>
    <row r="89" spans="2:10" ht="12.75">
      <c r="B89" s="32" t="s">
        <v>301</v>
      </c>
      <c r="C89" s="12"/>
      <c r="D89" s="198">
        <f>F89*(1-D87)</f>
        <v>70.2</v>
      </c>
      <c r="E89" s="33"/>
      <c r="F89" s="34">
        <f>D14</f>
        <v>78</v>
      </c>
      <c r="G89" s="33"/>
      <c r="H89" s="198">
        <f>F89*(1+H87)</f>
        <v>85.80000000000001</v>
      </c>
      <c r="I89" s="12"/>
      <c r="J89" s="12"/>
    </row>
    <row r="90" spans="2:10" ht="4.5" customHeight="1">
      <c r="B90" s="12"/>
      <c r="C90" s="12"/>
      <c r="D90" s="51"/>
      <c r="E90" s="12"/>
      <c r="F90" s="13"/>
      <c r="G90" s="12"/>
      <c r="H90" s="51"/>
      <c r="I90" s="12"/>
      <c r="J90" s="12"/>
    </row>
    <row r="91" spans="2:10" ht="12.75">
      <c r="B91" s="12" t="s">
        <v>300</v>
      </c>
      <c r="C91" s="12"/>
      <c r="D91" s="35">
        <f>$J$52/D89</f>
        <v>1.9338100824175817</v>
      </c>
      <c r="E91" s="12"/>
      <c r="F91" s="35">
        <f>$J$52/F89</f>
        <v>1.7404290741758235</v>
      </c>
      <c r="G91" s="12"/>
      <c r="H91" s="35">
        <f>$J$52/H89</f>
        <v>1.5822082492507485</v>
      </c>
      <c r="I91" s="12"/>
      <c r="J91" s="12"/>
    </row>
    <row r="92" spans="2:10" ht="3.75" customHeight="1">
      <c r="B92" s="12"/>
      <c r="C92" s="12"/>
      <c r="D92" s="51"/>
      <c r="E92" s="12"/>
      <c r="F92" s="13"/>
      <c r="G92" s="12"/>
      <c r="H92" s="51"/>
      <c r="I92" s="12"/>
      <c r="J92" s="12"/>
    </row>
    <row r="93" spans="2:10" ht="12.75">
      <c r="B93" s="12" t="s">
        <v>252</v>
      </c>
      <c r="C93" s="12"/>
      <c r="D93" s="35">
        <f>$J$70/D89</f>
        <v>2.7048258381664634</v>
      </c>
      <c r="E93" s="12"/>
      <c r="F93" s="35">
        <f>$J$70/F89</f>
        <v>2.4343432543498174</v>
      </c>
      <c r="G93" s="12"/>
      <c r="H93" s="35">
        <f>$J$70/H89</f>
        <v>2.213039322136197</v>
      </c>
      <c r="I93" s="12"/>
      <c r="J93" s="12"/>
    </row>
    <row r="94" spans="2:10" ht="5.25" customHeight="1">
      <c r="B94" s="12"/>
      <c r="C94" s="12"/>
      <c r="D94" s="51"/>
      <c r="E94" s="12"/>
      <c r="F94" s="13"/>
      <c r="G94" s="12"/>
      <c r="H94" s="51"/>
      <c r="I94" s="12"/>
      <c r="J94" s="12"/>
    </row>
    <row r="95" spans="2:10" ht="12.75">
      <c r="B95" s="12" t="s">
        <v>253</v>
      </c>
      <c r="C95" s="12"/>
      <c r="D95" s="35">
        <f>$J$73/D89</f>
        <v>4.638635920584045</v>
      </c>
      <c r="E95" s="12"/>
      <c r="F95" s="35">
        <f>$J$73/F89</f>
        <v>4.174772328525641</v>
      </c>
      <c r="G95" s="12"/>
      <c r="H95" s="35">
        <f>$J$73/H89</f>
        <v>3.795247571386946</v>
      </c>
      <c r="I95" s="12"/>
      <c r="J95" s="12"/>
    </row>
    <row r="96" spans="2:10" ht="12.75">
      <c r="B96" s="16"/>
      <c r="C96" s="16"/>
      <c r="D96" s="84"/>
      <c r="E96" s="16"/>
      <c r="F96" s="20"/>
      <c r="G96" s="16"/>
      <c r="H96" s="84"/>
      <c r="I96" s="16"/>
      <c r="J96" s="16"/>
    </row>
    <row r="97" spans="2:10" ht="12.75">
      <c r="B97" s="16"/>
      <c r="C97" s="16"/>
      <c r="D97" s="29" t="s">
        <v>329</v>
      </c>
      <c r="E97" s="12"/>
      <c r="F97" s="13"/>
      <c r="G97" s="12"/>
      <c r="H97" s="29" t="s">
        <v>331</v>
      </c>
      <c r="I97" s="16"/>
      <c r="J97" s="16"/>
    </row>
    <row r="98" spans="2:10" ht="12.75">
      <c r="B98" s="12"/>
      <c r="C98" s="12"/>
      <c r="D98" s="30">
        <v>0.1</v>
      </c>
      <c r="E98" s="12"/>
      <c r="F98" s="13" t="s">
        <v>330</v>
      </c>
      <c r="G98" s="12"/>
      <c r="H98" s="30">
        <v>0.1</v>
      </c>
      <c r="I98" s="12"/>
      <c r="J98" s="12"/>
    </row>
    <row r="99" spans="2:10" ht="12.75" customHeight="1">
      <c r="B99" s="12"/>
      <c r="C99" s="12"/>
      <c r="D99" s="7"/>
      <c r="E99" s="8"/>
      <c r="F99" s="9" t="s">
        <v>301</v>
      </c>
      <c r="G99" s="8"/>
      <c r="H99" s="7"/>
      <c r="I99" s="12"/>
      <c r="J99" s="12"/>
    </row>
    <row r="100" spans="2:10" ht="12.75">
      <c r="B100" s="32" t="s">
        <v>332</v>
      </c>
      <c r="C100" s="12"/>
      <c r="D100" s="36">
        <f>F100*(1-D87)</f>
        <v>4.635000000000001</v>
      </c>
      <c r="E100" s="33"/>
      <c r="F100" s="37">
        <f>H14</f>
        <v>5.15</v>
      </c>
      <c r="G100" s="33"/>
      <c r="H100" s="36">
        <f>F100*(1+H87)</f>
        <v>5.665000000000001</v>
      </c>
      <c r="I100" s="12"/>
      <c r="J100" s="12"/>
    </row>
    <row r="101" spans="2:10" ht="3" customHeight="1">
      <c r="B101" s="12"/>
      <c r="C101" s="12"/>
      <c r="D101" s="51"/>
      <c r="E101" s="12"/>
      <c r="F101" s="13"/>
      <c r="G101" s="12"/>
      <c r="H101" s="51"/>
      <c r="I101" s="12"/>
      <c r="J101" s="12"/>
    </row>
    <row r="102" spans="2:10" ht="12.75">
      <c r="B102" s="12" t="s">
        <v>300</v>
      </c>
      <c r="C102" s="12"/>
      <c r="D102" s="38">
        <f>$J$52/D100</f>
        <v>29.28877406380026</v>
      </c>
      <c r="E102" s="12"/>
      <c r="F102" s="38">
        <f>$J$52/F100</f>
        <v>26.359896657420236</v>
      </c>
      <c r="G102" s="12"/>
      <c r="H102" s="38">
        <f>$J$52/H100</f>
        <v>23.963542415836578</v>
      </c>
      <c r="I102" s="12"/>
      <c r="J102" s="12"/>
    </row>
    <row r="103" spans="2:10" ht="3.75" customHeight="1">
      <c r="B103" s="12"/>
      <c r="C103" s="12"/>
      <c r="D103" s="51"/>
      <c r="E103" s="12"/>
      <c r="F103" s="13"/>
      <c r="G103" s="12"/>
      <c r="H103" s="51"/>
      <c r="I103" s="12"/>
      <c r="J103" s="12"/>
    </row>
    <row r="104" spans="2:10" ht="12.75">
      <c r="B104" s="12" t="s">
        <v>252</v>
      </c>
      <c r="C104" s="12"/>
      <c r="D104" s="38">
        <f>$J$70/D100</f>
        <v>40.96629424795808</v>
      </c>
      <c r="E104" s="12"/>
      <c r="F104" s="38">
        <f>$J$70/F100</f>
        <v>36.869664823162275</v>
      </c>
      <c r="G104" s="12"/>
      <c r="H104" s="38">
        <f>$J$70/H100</f>
        <v>33.5178771119657</v>
      </c>
      <c r="I104" s="12"/>
      <c r="J104" s="12"/>
    </row>
    <row r="105" spans="2:10" ht="5.25" customHeight="1">
      <c r="B105" s="12"/>
      <c r="C105" s="12"/>
      <c r="D105" s="51"/>
      <c r="E105" s="12"/>
      <c r="F105" s="13"/>
      <c r="G105" s="12"/>
      <c r="H105" s="51"/>
      <c r="I105" s="12"/>
      <c r="J105" s="12"/>
    </row>
    <row r="106" spans="2:10" ht="12.75">
      <c r="B106" s="12" t="s">
        <v>253</v>
      </c>
      <c r="C106" s="12"/>
      <c r="D106" s="38">
        <f>$J$73/D100</f>
        <v>70.25506831175835</v>
      </c>
      <c r="E106" s="12"/>
      <c r="F106" s="38">
        <f>$J$73/F100</f>
        <v>63.22956148058252</v>
      </c>
      <c r="G106" s="12"/>
      <c r="H106" s="38">
        <f>$J$73/H100</f>
        <v>57.48141952780229</v>
      </c>
      <c r="I106" s="12"/>
      <c r="J106" s="12"/>
    </row>
    <row r="107" spans="2:10" s="46" customFormat="1" ht="12.75">
      <c r="B107" s="12"/>
      <c r="C107" s="12"/>
      <c r="D107" s="51"/>
      <c r="E107" s="12"/>
      <c r="F107" s="13"/>
      <c r="G107" s="12"/>
      <c r="H107" s="51"/>
      <c r="I107" s="12"/>
      <c r="J107" s="12"/>
    </row>
    <row r="108" spans="2:10" s="46" customFormat="1" ht="12.75">
      <c r="B108" s="8"/>
      <c r="C108" s="8"/>
      <c r="D108" s="7"/>
      <c r="E108" s="8"/>
      <c r="F108" s="9"/>
      <c r="G108" s="8"/>
      <c r="H108" s="7"/>
      <c r="I108" s="8"/>
      <c r="J108" s="8"/>
    </row>
    <row r="109" spans="4:8" s="46" customFormat="1" ht="12.75">
      <c r="D109" s="77"/>
      <c r="F109" s="47"/>
      <c r="H109" s="77"/>
    </row>
    <row r="110" spans="4:8" s="46" customFormat="1" ht="12.75">
      <c r="D110" s="77"/>
      <c r="F110" s="47"/>
      <c r="H110" s="77"/>
    </row>
    <row r="111" spans="4:8" s="46" customFormat="1" ht="12.75">
      <c r="D111" s="77"/>
      <c r="F111" s="47"/>
      <c r="H111" s="77"/>
    </row>
    <row r="112" spans="4:8" s="46" customFormat="1" ht="12.75">
      <c r="D112" s="77"/>
      <c r="F112" s="47"/>
      <c r="H112" s="77"/>
    </row>
    <row r="113" spans="4:8" s="46" customFormat="1" ht="12.75">
      <c r="D113" s="77"/>
      <c r="F113" s="47"/>
      <c r="H113" s="77"/>
    </row>
    <row r="114" spans="4:8" s="46" customFormat="1" ht="12.75">
      <c r="D114" s="77"/>
      <c r="F114" s="47"/>
      <c r="H114" s="77"/>
    </row>
    <row r="115" spans="4:8" s="46" customFormat="1" ht="12.75">
      <c r="D115" s="77"/>
      <c r="F115" s="47"/>
      <c r="H115" s="77"/>
    </row>
    <row r="116" spans="4:8" s="46" customFormat="1" ht="12.75">
      <c r="D116" s="77"/>
      <c r="F116" s="47"/>
      <c r="H116" s="77"/>
    </row>
    <row r="117" spans="4:8" s="46" customFormat="1" ht="12.75">
      <c r="D117" s="77"/>
      <c r="F117" s="47"/>
      <c r="H117" s="77"/>
    </row>
    <row r="118" spans="4:8" s="46" customFormat="1" ht="12.75">
      <c r="D118" s="77"/>
      <c r="F118" s="47"/>
      <c r="H118" s="77"/>
    </row>
    <row r="119" spans="4:8" s="46" customFormat="1" ht="12.75">
      <c r="D119" s="77"/>
      <c r="F119" s="47"/>
      <c r="H119" s="77"/>
    </row>
    <row r="120" spans="4:8" s="46" customFormat="1" ht="12.75">
      <c r="D120" s="77"/>
      <c r="F120" s="47"/>
      <c r="H120" s="77"/>
    </row>
    <row r="121" spans="4:8" s="46" customFormat="1" ht="12.75">
      <c r="D121" s="77"/>
      <c r="F121" s="47"/>
      <c r="H121" s="77"/>
    </row>
    <row r="122" spans="4:8" s="46" customFormat="1" ht="12.75">
      <c r="D122" s="77"/>
      <c r="F122" s="47"/>
      <c r="H122" s="77"/>
    </row>
    <row r="123" spans="4:8" s="46" customFormat="1" ht="12.75">
      <c r="D123" s="77"/>
      <c r="F123" s="47"/>
      <c r="H123" s="77"/>
    </row>
    <row r="124" spans="4:8" s="46" customFormat="1" ht="12.75">
      <c r="D124" s="77"/>
      <c r="F124" s="47"/>
      <c r="H124" s="77"/>
    </row>
    <row r="125" spans="4:8" s="46" customFormat="1" ht="12.75">
      <c r="D125" s="77"/>
      <c r="F125" s="47"/>
      <c r="H125" s="77"/>
    </row>
    <row r="126" spans="4:8" s="46" customFormat="1" ht="12.75">
      <c r="D126" s="77"/>
      <c r="F126" s="47"/>
      <c r="H126" s="77"/>
    </row>
    <row r="127" spans="4:8" s="46" customFormat="1" ht="12.75">
      <c r="D127" s="77"/>
      <c r="F127" s="47"/>
      <c r="H127" s="77"/>
    </row>
    <row r="128" spans="4:8" s="46" customFormat="1" ht="12.75">
      <c r="D128" s="77"/>
      <c r="F128" s="47"/>
      <c r="H128" s="77"/>
    </row>
    <row r="129" spans="4:8" s="46" customFormat="1" ht="12.75">
      <c r="D129" s="77"/>
      <c r="F129" s="47"/>
      <c r="H129" s="77"/>
    </row>
    <row r="130" spans="4:8" s="46" customFormat="1" ht="12.75">
      <c r="D130" s="77"/>
      <c r="F130" s="47"/>
      <c r="H130" s="77"/>
    </row>
    <row r="131" spans="4:8" s="46" customFormat="1" ht="12.75">
      <c r="D131" s="77"/>
      <c r="F131" s="47"/>
      <c r="H131" s="77"/>
    </row>
    <row r="132" spans="4:8" s="46" customFormat="1" ht="12.75">
      <c r="D132" s="77"/>
      <c r="F132" s="47"/>
      <c r="H132" s="77"/>
    </row>
    <row r="133" spans="4:8" s="46" customFormat="1" ht="12.75">
      <c r="D133" s="77"/>
      <c r="F133" s="47"/>
      <c r="H133" s="77"/>
    </row>
    <row r="134" spans="4:8" s="46" customFormat="1" ht="12.75">
      <c r="D134" s="77"/>
      <c r="F134" s="47"/>
      <c r="H134" s="77"/>
    </row>
    <row r="135" spans="4:8" s="46" customFormat="1" ht="12.75">
      <c r="D135" s="77"/>
      <c r="F135" s="47"/>
      <c r="H135" s="77"/>
    </row>
    <row r="136" spans="4:8" s="46" customFormat="1" ht="12.75">
      <c r="D136" s="77"/>
      <c r="F136" s="47"/>
      <c r="H136" s="77"/>
    </row>
    <row r="137" spans="4:8" s="46" customFormat="1" ht="12.75">
      <c r="D137" s="77"/>
      <c r="F137" s="47"/>
      <c r="H137" s="77"/>
    </row>
    <row r="138" spans="4:8" s="46" customFormat="1" ht="12.75">
      <c r="D138" s="77"/>
      <c r="F138" s="47"/>
      <c r="H138" s="77"/>
    </row>
    <row r="139" spans="4:8" s="46" customFormat="1" ht="12.75">
      <c r="D139" s="77"/>
      <c r="F139" s="47"/>
      <c r="H139" s="77"/>
    </row>
    <row r="140" spans="4:8" s="46" customFormat="1" ht="12.75">
      <c r="D140" s="77"/>
      <c r="F140" s="47"/>
      <c r="H140" s="77"/>
    </row>
    <row r="141" spans="4:8" s="46" customFormat="1" ht="12.75">
      <c r="D141" s="77"/>
      <c r="F141" s="47"/>
      <c r="H141" s="77"/>
    </row>
    <row r="142" spans="4:8" s="46" customFormat="1" ht="12.75">
      <c r="D142" s="77"/>
      <c r="F142" s="47"/>
      <c r="H142" s="77"/>
    </row>
    <row r="143" spans="4:8" s="46" customFormat="1" ht="12.75">
      <c r="D143" s="77"/>
      <c r="F143" s="47"/>
      <c r="H143" s="77"/>
    </row>
    <row r="144" spans="4:8" s="46" customFormat="1" ht="12.75">
      <c r="D144" s="77"/>
      <c r="F144" s="47"/>
      <c r="H144" s="77"/>
    </row>
    <row r="145" spans="4:8" s="46" customFormat="1" ht="12.75">
      <c r="D145" s="77"/>
      <c r="F145" s="47"/>
      <c r="H145" s="77"/>
    </row>
    <row r="146" spans="4:8" s="46" customFormat="1" ht="12.75">
      <c r="D146" s="77"/>
      <c r="F146" s="47"/>
      <c r="H146" s="77"/>
    </row>
    <row r="147" spans="4:8" s="46" customFormat="1" ht="12.75">
      <c r="D147" s="77"/>
      <c r="F147" s="47"/>
      <c r="H147" s="77"/>
    </row>
    <row r="148" spans="4:8" s="46" customFormat="1" ht="12.75">
      <c r="D148" s="77"/>
      <c r="F148" s="47"/>
      <c r="H148" s="77"/>
    </row>
    <row r="149" spans="4:8" s="46" customFormat="1" ht="12.75">
      <c r="D149" s="77"/>
      <c r="F149" s="47"/>
      <c r="H149" s="77"/>
    </row>
    <row r="150" spans="4:8" s="46" customFormat="1" ht="12.75">
      <c r="D150" s="77"/>
      <c r="F150" s="47"/>
      <c r="H150" s="77"/>
    </row>
    <row r="151" spans="4:8" s="46" customFormat="1" ht="12.75">
      <c r="D151" s="77"/>
      <c r="F151" s="47"/>
      <c r="H151" s="77"/>
    </row>
    <row r="152" spans="4:8" s="46" customFormat="1" ht="12.75">
      <c r="D152" s="77"/>
      <c r="F152" s="47"/>
      <c r="H152" s="77"/>
    </row>
    <row r="153" spans="4:8" s="46" customFormat="1" ht="12.75">
      <c r="D153" s="77"/>
      <c r="F153" s="47"/>
      <c r="H153" s="77"/>
    </row>
    <row r="154" spans="2:10" ht="12.75">
      <c r="B154" s="46"/>
      <c r="C154" s="46"/>
      <c r="D154" s="77"/>
      <c r="E154" s="46"/>
      <c r="F154" s="47"/>
      <c r="G154" s="46"/>
      <c r="H154" s="77"/>
      <c r="I154" s="46"/>
      <c r="J154" s="46"/>
    </row>
    <row r="155" spans="2:10" ht="12.75">
      <c r="B155" s="46"/>
      <c r="C155" s="46"/>
      <c r="D155" s="77"/>
      <c r="E155" s="46"/>
      <c r="F155" s="47"/>
      <c r="G155" s="46"/>
      <c r="H155" s="77"/>
      <c r="I155" s="46"/>
      <c r="J155" s="46"/>
    </row>
  </sheetData>
  <sheetProtection/>
  <mergeCells count="16">
    <mergeCell ref="B84:J84"/>
    <mergeCell ref="M15:R15"/>
    <mergeCell ref="M14:Q14"/>
    <mergeCell ref="B83:J83"/>
    <mergeCell ref="B78:J78"/>
    <mergeCell ref="B8:K8"/>
    <mergeCell ref="B60:D60"/>
    <mergeCell ref="B61:D61"/>
    <mergeCell ref="B58:D58"/>
    <mergeCell ref="B59:D59"/>
    <mergeCell ref="B6:J6"/>
    <mergeCell ref="B2:J2"/>
    <mergeCell ref="B3:J3"/>
    <mergeCell ref="B4:J4"/>
    <mergeCell ref="B5:J5"/>
    <mergeCell ref="B79:J79"/>
  </mergeCells>
  <hyperlinks>
    <hyperlink ref="B84:J84" location="WWMC" display="Winter Wheat Machinery Costs table."/>
  </hyperlinks>
  <printOptions horizontalCentered="1"/>
  <pageMargins left="0.75" right="0.75" top="1" bottom="1" header="0.68" footer="0.38"/>
  <pageSetup fitToHeight="2" horizontalDpi="600" verticalDpi="600" orientation="portrait" r:id="rId1"/>
  <headerFooter alignWithMargins="0">
    <oddFooter>&amp;L&amp;A&amp;C&amp;F&amp;R&amp;D</oddFooter>
  </headerFooter>
  <rowBreaks count="1" manualBreakCount="1">
    <brk id="55" min="1" max="10" man="1"/>
  </rowBreaks>
  <ignoredErrors>
    <ignoredError sqref="J25:J68" emptyCellReference="1"/>
  </ignoredErrors>
</worksheet>
</file>

<file path=xl/worksheets/sheet9.xml><?xml version="1.0" encoding="utf-8"?>
<worksheet xmlns="http://schemas.openxmlformats.org/spreadsheetml/2006/main" xmlns:r="http://schemas.openxmlformats.org/officeDocument/2006/relationships">
  <sheetPr codeName="Sheet6"/>
  <dimension ref="B1:E32"/>
  <sheetViews>
    <sheetView zoomScalePageLayoutView="0" workbookViewId="0" topLeftCell="A1">
      <selection activeCell="D27" sqref="D27"/>
    </sheetView>
  </sheetViews>
  <sheetFormatPr defaultColWidth="8.7109375" defaultRowHeight="12.75"/>
  <cols>
    <col min="1" max="1" width="4.28125" style="46" customWidth="1"/>
    <col min="2" max="2" width="11.00390625" style="0" customWidth="1"/>
    <col min="3" max="3" width="20.140625" style="0" customWidth="1"/>
    <col min="4" max="4" width="27.140625" style="0" customWidth="1"/>
    <col min="5" max="5" width="38.00390625" style="0" customWidth="1"/>
    <col min="6" max="26" width="8.7109375" style="46" customWidth="1"/>
  </cols>
  <sheetData>
    <row r="1" spans="2:5" ht="12.75">
      <c r="B1" s="46"/>
      <c r="C1" s="46"/>
      <c r="D1" s="46"/>
      <c r="E1" s="46"/>
    </row>
    <row r="2" spans="2:5" ht="20.25" customHeight="1">
      <c r="B2" s="342" t="s">
        <v>98</v>
      </c>
      <c r="C2" s="358"/>
      <c r="D2" s="358"/>
      <c r="E2" s="358"/>
    </row>
    <row r="3" spans="2:5" ht="6" customHeight="1">
      <c r="B3" s="356"/>
      <c r="C3" s="357"/>
      <c r="D3" s="357"/>
      <c r="E3" s="357"/>
    </row>
    <row r="4" spans="2:5" ht="33.75" customHeight="1">
      <c r="B4" s="359" t="s">
        <v>222</v>
      </c>
      <c r="C4" s="359" t="s">
        <v>224</v>
      </c>
      <c r="D4" s="359" t="s">
        <v>226</v>
      </c>
      <c r="E4" s="359" t="s">
        <v>227</v>
      </c>
    </row>
    <row r="5" spans="2:5" ht="12.75">
      <c r="B5" s="44"/>
      <c r="C5" s="44"/>
      <c r="D5" s="44" t="s">
        <v>189</v>
      </c>
      <c r="E5" s="161" t="s">
        <v>347</v>
      </c>
    </row>
    <row r="6" spans="2:5" ht="12.75">
      <c r="B6" s="10" t="s">
        <v>272</v>
      </c>
      <c r="C6" s="10" t="s">
        <v>349</v>
      </c>
      <c r="D6" s="10" t="s">
        <v>192</v>
      </c>
      <c r="E6" s="162" t="s">
        <v>350</v>
      </c>
    </row>
    <row r="7" spans="2:5" ht="12.75">
      <c r="B7" s="42"/>
      <c r="C7" s="42"/>
      <c r="D7" s="42"/>
      <c r="E7" s="42"/>
    </row>
    <row r="8" spans="2:5" ht="12.75">
      <c r="B8" s="43" t="s">
        <v>121</v>
      </c>
      <c r="C8" s="43" t="s">
        <v>232</v>
      </c>
      <c r="D8" s="43" t="s">
        <v>188</v>
      </c>
      <c r="E8" s="241" t="s">
        <v>284</v>
      </c>
    </row>
    <row r="9" spans="2:5" ht="12.75">
      <c r="B9" s="44"/>
      <c r="C9" s="44"/>
      <c r="D9" s="44"/>
      <c r="E9" s="44"/>
    </row>
    <row r="10" spans="2:5" ht="12.75">
      <c r="B10" s="10" t="s">
        <v>88</v>
      </c>
      <c r="C10" s="10" t="s">
        <v>232</v>
      </c>
      <c r="D10" s="10" t="s">
        <v>188</v>
      </c>
      <c r="E10" s="242" t="s">
        <v>291</v>
      </c>
    </row>
    <row r="11" spans="2:5" ht="12.75">
      <c r="B11" s="12"/>
      <c r="C11" s="42"/>
      <c r="D11" s="12"/>
      <c r="E11" s="42"/>
    </row>
    <row r="12" spans="2:5" ht="12.75">
      <c r="B12" s="12" t="s">
        <v>88</v>
      </c>
      <c r="C12" s="12" t="s">
        <v>89</v>
      </c>
      <c r="D12" s="43"/>
      <c r="E12" s="12"/>
    </row>
    <row r="13" spans="2:5" ht="12.75">
      <c r="B13" s="44"/>
      <c r="C13" s="44"/>
      <c r="D13" s="44"/>
      <c r="E13" s="44"/>
    </row>
    <row r="14" spans="2:5" ht="12.75">
      <c r="B14" s="10" t="s">
        <v>209</v>
      </c>
      <c r="C14" s="10" t="s">
        <v>228</v>
      </c>
      <c r="D14" s="10" t="s">
        <v>333</v>
      </c>
      <c r="E14" s="10"/>
    </row>
    <row r="15" spans="2:5" ht="12.75">
      <c r="B15" s="448" t="s">
        <v>285</v>
      </c>
      <c r="C15" s="449"/>
      <c r="D15" s="449"/>
      <c r="E15" s="449"/>
    </row>
    <row r="16" spans="2:5" ht="12.75">
      <c r="B16" s="46"/>
      <c r="C16" s="46"/>
      <c r="D16" s="46"/>
      <c r="E16" s="46"/>
    </row>
    <row r="17" spans="2:5" ht="12.75">
      <c r="B17" s="46"/>
      <c r="C17" s="46"/>
      <c r="D17" s="46"/>
      <c r="E17" s="46"/>
    </row>
    <row r="18" spans="2:5" ht="12.75">
      <c r="B18" s="46"/>
      <c r="C18" s="46"/>
      <c r="D18" s="46"/>
      <c r="E18" s="46"/>
    </row>
    <row r="19" spans="2:5" ht="12.75">
      <c r="B19" s="46"/>
      <c r="C19" s="46"/>
      <c r="D19" s="46"/>
      <c r="E19" s="46"/>
    </row>
    <row r="20" spans="2:5" ht="12.75">
      <c r="B20" s="46"/>
      <c r="C20" s="46"/>
      <c r="D20" s="46"/>
      <c r="E20" s="46"/>
    </row>
    <row r="21" spans="2:5" ht="12.75">
      <c r="B21" s="46"/>
      <c r="C21" s="46"/>
      <c r="D21" s="46"/>
      <c r="E21" s="46"/>
    </row>
    <row r="22" spans="2:5" ht="12.75">
      <c r="B22" s="46"/>
      <c r="C22" s="46"/>
      <c r="D22" s="46"/>
      <c r="E22" s="46"/>
    </row>
    <row r="23" spans="2:5" ht="12.75">
      <c r="B23" s="46"/>
      <c r="C23" s="46"/>
      <c r="D23" s="46"/>
      <c r="E23" s="46"/>
    </row>
    <row r="24" spans="2:5" ht="12.75">
      <c r="B24" s="46"/>
      <c r="C24" s="46"/>
      <c r="D24" s="46"/>
      <c r="E24" s="46"/>
    </row>
    <row r="25" spans="2:5" ht="12.75">
      <c r="B25" s="46"/>
      <c r="C25" s="46"/>
      <c r="D25" s="46"/>
      <c r="E25" s="46"/>
    </row>
    <row r="26" spans="2:5" ht="12.75">
      <c r="B26" s="46"/>
      <c r="C26" s="46"/>
      <c r="D26" s="46"/>
      <c r="E26" s="46"/>
    </row>
    <row r="27" spans="2:5" ht="12.75">
      <c r="B27" s="46"/>
      <c r="C27" s="46"/>
      <c r="D27" s="46"/>
      <c r="E27" s="46"/>
    </row>
    <row r="28" spans="2:5" ht="12.75">
      <c r="B28" s="46"/>
      <c r="C28" s="46"/>
      <c r="D28" s="46"/>
      <c r="E28" s="46"/>
    </row>
    <row r="29" spans="2:5" ht="12.75">
      <c r="B29" s="46"/>
      <c r="C29" s="46"/>
      <c r="D29" s="46"/>
      <c r="E29" s="46"/>
    </row>
    <row r="30" spans="2:5" ht="12.75">
      <c r="B30" s="46"/>
      <c r="C30" s="46"/>
      <c r="D30" s="46"/>
      <c r="E30" s="46"/>
    </row>
    <row r="31" spans="2:5" ht="12.75">
      <c r="B31" s="46"/>
      <c r="C31" s="46"/>
      <c r="D31" s="46"/>
      <c r="E31" s="46"/>
    </row>
    <row r="32" spans="2:5" ht="12.75">
      <c r="B32" s="46"/>
      <c r="C32" s="46"/>
      <c r="D32" s="46"/>
      <c r="E32" s="46"/>
    </row>
    <row r="33" s="46" customFormat="1" ht="12.75"/>
    <row r="34" s="46" customFormat="1" ht="12.75"/>
    <row r="35" s="46" customFormat="1" ht="12.7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sheetData>
  <sheetProtection/>
  <mergeCells count="1">
    <mergeCell ref="B15:E15"/>
  </mergeCells>
  <printOptions horizontalCentered="1"/>
  <pageMargins left="0.75" right="0.75" top="1" bottom="1" header="0.5" footer="0.5"/>
  <pageSetup horizontalDpi="600" verticalDpi="600" orientation="portrait" scale="87"/>
  <headerFooter alignWithMargins="0">
    <oddFooter>&amp;L&amp;A&amp;C&amp;F&amp;R&amp;D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Painter</dc:creator>
  <cp:keywords/>
  <dc:description/>
  <cp:lastModifiedBy>Kate Painter</cp:lastModifiedBy>
  <cp:lastPrinted>2009-04-20T23:46:29Z</cp:lastPrinted>
  <dcterms:created xsi:type="dcterms:W3CDTF">2006-03-07T19:12:45Z</dcterms:created>
  <dcterms:modified xsi:type="dcterms:W3CDTF">2009-04-21T06:58:12Z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